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案例" sheetId="75"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 sheetId="76" r:id="rId44"/>
  </sheets>
  <externalReferences>
    <externalReference r:id="rId4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5" i="76" l="1"/>
  <c r="I4" i="76"/>
  <c r="I3" i="76"/>
  <c r="I6" i="76" l="1"/>
  <c r="H6" i="76" s="1"/>
  <c r="F19" i="6"/>
  <c r="I41" i="40" l="1"/>
  <c r="G41" i="40"/>
  <c r="E41" i="40"/>
  <c r="I34" i="40"/>
  <c r="G34" i="40"/>
  <c r="E34" i="40"/>
  <c r="I7" i="40" l="1"/>
  <c r="G7" i="40"/>
  <c r="E7" i="40"/>
  <c r="I5" i="40"/>
  <c r="G5" i="40"/>
  <c r="E5" i="40"/>
  <c r="D3" i="4" l="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5" i="73"/>
  <c r="F5" i="73"/>
  <c r="D7" i="73"/>
  <c r="F3" i="73"/>
  <c r="D6" i="73"/>
  <c r="D3" i="73"/>
  <c r="D4" i="73"/>
  <c r="F4" i="73"/>
  <c r="F6" i="73"/>
  <c r="E20" i="43" l="1"/>
  <c r="I1" i="73"/>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0" i="1"/>
  <c r="AO13" i="1"/>
  <c r="AO11" i="1"/>
  <c r="AO9" i="1"/>
  <c r="AO12" i="1"/>
  <c r="B13" i="70" l="1"/>
  <c r="B11" i="70"/>
  <c r="B9" i="70"/>
  <c r="B12" i="70"/>
  <c r="B10"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M10" i="1" s="1"/>
  <c r="O10" i="1" s="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U31" i="34"/>
  <c r="AC13" i="34"/>
  <c r="U46" i="33"/>
  <c r="U30"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AZ586" i="3"/>
  <c r="BA585" i="3"/>
  <c r="F17" i="21"/>
  <c r="AA17" i="21" s="1"/>
  <c r="H17" i="21"/>
  <c r="AB1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A8" i="52"/>
  <c r="B54" i="72" s="1"/>
  <c r="H103" i="9"/>
  <c r="D8" i="53" s="1"/>
  <c r="B16" i="53"/>
  <c r="B33" i="72" s="1"/>
  <c r="C7" i="37"/>
  <c r="C7" i="34"/>
  <c r="C7" i="36"/>
  <c r="A118" i="9"/>
  <c r="A4" i="52"/>
  <c r="B41" i="72" s="1"/>
  <c r="J11" i="39"/>
  <c r="W11" i="39" s="1"/>
  <c r="F11" i="39"/>
  <c r="AA11" i="39" s="1"/>
  <c r="A126" i="9"/>
  <c r="A12" i="52" s="1"/>
  <c r="B56" i="72" s="1"/>
  <c r="S11" i="39"/>
  <c r="G4" i="4"/>
  <c r="I4" i="4"/>
  <c r="K5" i="4"/>
  <c r="B47" i="48" s="1"/>
  <c r="A2" i="9"/>
  <c r="N2" i="43"/>
  <c r="F59" i="43" s="1"/>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G29" i="6" s="1"/>
  <c r="BN5" i="3"/>
  <c r="AZ343" i="3"/>
  <c r="AZ347" i="3"/>
  <c r="BK5" i="3"/>
  <c r="BI5" i="3"/>
  <c r="BG5" i="3"/>
  <c r="BE5" i="3"/>
  <c r="BC5" i="3"/>
  <c r="G17" i="3"/>
  <c r="BA17" i="3"/>
  <c r="BT5" i="3"/>
  <c r="AZ350" i="3"/>
  <c r="AZ352" i="3"/>
  <c r="AZ356" i="3"/>
  <c r="AZ360" i="3"/>
  <c r="AZ364" i="3"/>
  <c r="AZ368" i="3"/>
  <c r="BA15" i="3"/>
  <c r="AZ15" i="3" s="1"/>
  <c r="BB5" i="3"/>
  <c r="E15" i="6" s="1"/>
  <c r="E60" i="40" s="1"/>
  <c r="BR5" i="3"/>
  <c r="G28" i="6" s="1"/>
  <c r="AZ380" i="3"/>
  <c r="AZ384" i="3"/>
  <c r="AZ388" i="3"/>
  <c r="AZ392" i="3"/>
  <c r="AZ396" i="3"/>
  <c r="AZ394" i="3"/>
  <c r="AZ499" i="3"/>
  <c r="AZ509" i="3"/>
  <c r="F29" i="6"/>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E98" i="40"/>
  <c r="F28" i="40" s="1"/>
  <c r="AA2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H28" i="40" l="1"/>
  <c r="U28" i="40" s="1"/>
  <c r="J28" i="40"/>
  <c r="AC28" i="40" s="1"/>
  <c r="F98" i="40"/>
  <c r="G98" i="40" s="1"/>
  <c r="H98" i="40" s="1"/>
  <c r="I98" i="40" s="1"/>
  <c r="J98" i="40" s="1"/>
  <c r="K98" i="40" s="1"/>
  <c r="L98" i="40" s="1"/>
  <c r="M98" i="40" s="1"/>
  <c r="E8" i="6"/>
  <c r="F27" i="6" s="1"/>
  <c r="I4" i="6"/>
  <c r="G3" i="43" s="1"/>
  <c r="E12" i="6"/>
  <c r="BL14" i="3"/>
  <c r="E13" i="6"/>
  <c r="E58" i="40" s="1"/>
  <c r="E29" i="6"/>
  <c r="F28" i="6"/>
  <c r="BA14" i="3"/>
  <c r="AZ14" i="3" s="1"/>
  <c r="E63" i="39"/>
  <c r="F22" i="43"/>
  <c r="G101" i="43"/>
  <c r="G105" i="43" s="1"/>
  <c r="C101" i="43"/>
  <c r="C104" i="43" s="1"/>
  <c r="J101" i="43"/>
  <c r="J104" i="43" s="1"/>
  <c r="N104" i="46"/>
  <c r="E22" i="43"/>
  <c r="B113" i="43"/>
  <c r="D116" i="43" s="1"/>
  <c r="E116" i="43" s="1"/>
  <c r="F116" i="43" s="1"/>
  <c r="G116" i="43" s="1"/>
  <c r="H116" i="43" s="1"/>
  <c r="K101" i="43"/>
  <c r="K103" i="43" s="1"/>
  <c r="F101" i="43"/>
  <c r="F104" i="43" s="1"/>
  <c r="N101" i="43"/>
  <c r="N102" i="43" s="1"/>
  <c r="S11" i="40"/>
  <c r="W35" i="40"/>
  <c r="U36" i="40"/>
  <c r="U23" i="40"/>
  <c r="S21" i="40"/>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AZ13" i="3"/>
  <c r="E59" i="40"/>
  <c r="F30" i="6"/>
  <c r="F31" i="6" s="1"/>
  <c r="E28" i="6"/>
  <c r="G5" i="3"/>
  <c r="B3" i="3" s="1"/>
  <c r="E69" i="3" s="1"/>
  <c r="N103" i="43"/>
  <c r="N105" i="43"/>
  <c r="N106" i="43"/>
  <c r="J107" i="43"/>
  <c r="J103" i="43"/>
  <c r="J102" i="43"/>
  <c r="F107" i="43"/>
  <c r="F106" i="43"/>
  <c r="C107" i="43"/>
  <c r="C105" i="43"/>
  <c r="C103"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16" i="6"/>
  <c r="E57" i="40"/>
  <c r="I116" i="43"/>
  <c r="J116" i="43" s="1"/>
  <c r="K116" i="43" s="1"/>
  <c r="L116" i="43" s="1"/>
  <c r="M116" i="43" s="1"/>
  <c r="G106" i="43"/>
  <c r="K106" i="43"/>
  <c r="K105" i="43"/>
  <c r="C102" i="43"/>
  <c r="F103" i="43"/>
  <c r="J106" i="43"/>
  <c r="N104" i="43"/>
  <c r="N107" i="43"/>
  <c r="E61" i="39"/>
  <c r="E56" i="40"/>
  <c r="E153" i="3"/>
  <c r="E305" i="3"/>
  <c r="E426" i="3"/>
  <c r="E508" i="3"/>
  <c r="E328" i="3"/>
  <c r="E27" i="6"/>
  <c r="K20" i="6" s="1"/>
  <c r="AR13" i="1"/>
  <c r="AQ13" i="1"/>
  <c r="T13" i="1"/>
  <c r="AR11" i="1"/>
  <c r="AQ11" i="1"/>
  <c r="T11" i="1"/>
  <c r="AR9" i="1"/>
  <c r="AQ9" i="1"/>
  <c r="T9" i="1"/>
  <c r="AR12" i="1"/>
  <c r="AQ12" i="1"/>
  <c r="T12" i="1"/>
  <c r="AR10" i="1"/>
  <c r="AQ10" i="1"/>
  <c r="T10" i="1"/>
  <c r="E19" i="69"/>
  <c r="E19" i="68"/>
  <c r="E19" i="11"/>
  <c r="F32" i="15"/>
  <c r="F60" i="15" s="1"/>
  <c r="F32" i="67"/>
  <c r="F60" i="67" s="1"/>
  <c r="E1" i="73"/>
  <c r="K1" i="73" s="1"/>
  <c r="G41" i="69"/>
  <c r="G22" i="69"/>
  <c r="G41" i="68"/>
  <c r="G22" i="68"/>
  <c r="G27" i="12"/>
  <c r="G26" i="12"/>
  <c r="G41" i="11"/>
  <c r="G22" i="11"/>
  <c r="G25" i="12"/>
  <c r="C109" i="43"/>
  <c r="L109" i="43"/>
  <c r="J109" i="43"/>
  <c r="C100" i="43"/>
  <c r="K109" i="43"/>
  <c r="E11" i="43"/>
  <c r="E10" i="43"/>
  <c r="E9" i="43"/>
  <c r="E8" i="43"/>
  <c r="C7" i="43" s="1"/>
  <c r="E81" i="43"/>
  <c r="B79" i="43" s="1"/>
  <c r="F109" i="43"/>
  <c r="D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D22"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D9" i="69"/>
  <c r="D9" i="68"/>
  <c r="M9" i="15"/>
  <c r="F13" i="15"/>
  <c r="M23" i="67"/>
  <c r="F40" i="67"/>
  <c r="M22" i="15"/>
  <c r="F16" i="67"/>
  <c r="F8" i="67"/>
  <c r="M28" i="67"/>
  <c r="F40" i="15"/>
  <c r="C76" i="15"/>
  <c r="F38" i="15"/>
  <c r="F16" i="15"/>
  <c r="M8" i="15"/>
  <c r="L48" i="67"/>
  <c r="F38" i="67"/>
  <c r="M24" i="67"/>
  <c r="G1" i="73"/>
  <c r="F6" i="67"/>
  <c r="F36" i="67"/>
  <c r="M8" i="67"/>
  <c r="M26" i="15"/>
  <c r="F9" i="67"/>
  <c r="F37" i="67"/>
  <c r="M26" i="67"/>
  <c r="J15" i="67"/>
  <c r="L47" i="67"/>
  <c r="F37" i="15"/>
  <c r="M29" i="67"/>
  <c r="L48" i="15"/>
  <c r="F26" i="15"/>
  <c r="C76" i="67"/>
  <c r="F6" i="15"/>
  <c r="M29" i="15"/>
  <c r="M28" i="15"/>
  <c r="F7" i="15"/>
  <c r="M6" i="15"/>
  <c r="F42" i="67"/>
  <c r="F36" i="15"/>
  <c r="M6" i="67"/>
  <c r="F7" i="67"/>
  <c r="F42" i="15"/>
  <c r="J15" i="15"/>
  <c r="F8" i="15"/>
  <c r="F43" i="67"/>
  <c r="L47" i="15"/>
  <c r="M23" i="15"/>
  <c r="F43" i="15"/>
  <c r="M24" i="15"/>
  <c r="F9" i="15"/>
  <c r="F13" i="67"/>
  <c r="M22" i="67"/>
  <c r="M9" i="67"/>
  <c r="F26" i="67"/>
  <c r="M18" i="67" l="1"/>
  <c r="F30" i="69"/>
  <c r="M18" i="15"/>
  <c r="F28" i="15"/>
  <c r="F28" i="67"/>
  <c r="F30" i="68"/>
  <c r="F31" i="12"/>
  <c r="F30" i="11"/>
  <c r="F52" i="9"/>
  <c r="AJ6" i="3"/>
  <c r="N6" i="3"/>
  <c r="E322" i="3"/>
  <c r="E282" i="3"/>
  <c r="E268" i="3"/>
  <c r="E302" i="3"/>
  <c r="E535" i="3"/>
  <c r="E503" i="3"/>
  <c r="E550" i="3"/>
  <c r="E17" i="3"/>
  <c r="E445" i="3"/>
  <c r="E361" i="3"/>
  <c r="E260" i="3"/>
  <c r="E213" i="3"/>
  <c r="E172" i="3"/>
  <c r="E183" i="3"/>
  <c r="E343" i="3"/>
  <c r="E395" i="3"/>
  <c r="E553" i="3"/>
  <c r="E565" i="3"/>
  <c r="E501" i="3"/>
  <c r="E563" i="3"/>
  <c r="E526" i="3"/>
  <c r="E528" i="3"/>
  <c r="E530" i="3"/>
  <c r="E415" i="3"/>
  <c r="E366" i="3"/>
  <c r="E304" i="3"/>
  <c r="E319" i="3"/>
  <c r="E278" i="3"/>
  <c r="E217" i="3"/>
  <c r="E261" i="3"/>
  <c r="E175" i="3"/>
  <c r="E114" i="3"/>
  <c r="E125" i="3"/>
  <c r="E237" i="3"/>
  <c r="E53" i="3"/>
  <c r="D19" i="12"/>
  <c r="C19" i="12" s="1"/>
  <c r="E66" i="39"/>
  <c r="F105" i="43"/>
  <c r="D115" i="43"/>
  <c r="E115" i="43" s="1"/>
  <c r="F115" i="43" s="1"/>
  <c r="G115" i="43" s="1"/>
  <c r="H115" i="43" s="1"/>
  <c r="B117" i="43"/>
  <c r="C117" i="43" s="1"/>
  <c r="B118" i="43"/>
  <c r="C118" i="43" s="1"/>
  <c r="G118" i="43"/>
  <c r="H118" i="43" s="1"/>
  <c r="F102" i="43"/>
  <c r="B115" i="43"/>
  <c r="C115" i="43" s="1"/>
  <c r="D117" i="43"/>
  <c r="E117" i="43" s="1"/>
  <c r="F117" i="43" s="1"/>
  <c r="G117" i="43" s="1"/>
  <c r="H117" i="43" s="1"/>
  <c r="C28" i="15"/>
  <c r="C24" i="12"/>
  <c r="C30" i="69"/>
  <c r="C48" i="68"/>
  <c r="C28" i="67"/>
  <c r="C31" i="12"/>
  <c r="C48" i="69"/>
  <c r="C30"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C9" i="68"/>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59" i="15"/>
  <c r="M17" i="15"/>
  <c r="F59" i="67"/>
  <c r="C16" i="15"/>
  <c r="F31" i="67"/>
  <c r="M17" i="67"/>
  <c r="C17" i="15"/>
  <c r="F31" i="15"/>
  <c r="C16" i="67"/>
  <c r="S6" i="43" l="1"/>
  <c r="S7" i="43"/>
  <c r="S4" i="43"/>
  <c r="S5" i="43"/>
  <c r="S3" i="43"/>
  <c r="C23" i="43"/>
  <c r="C21" i="43" s="1"/>
  <c r="S2" i="43"/>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C29" i="68" l="1"/>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C36" i="68"/>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M21" i="67"/>
  <c r="F35" i="15"/>
  <c r="C49" i="21" l="1"/>
  <c r="F63" i="67"/>
  <c r="C62" i="67" s="1"/>
  <c r="C34" i="67"/>
  <c r="J20" i="67"/>
  <c r="C24" i="68"/>
  <c r="J20" i="15"/>
  <c r="F63" i="15"/>
  <c r="C62" i="15" s="1"/>
  <c r="C34" i="15"/>
  <c r="R16" i="1"/>
  <c r="C22" i="12"/>
  <c r="C30" i="12" s="1"/>
  <c r="C28" i="12" s="1"/>
  <c r="C33" i="68"/>
  <c r="I63" i="40"/>
  <c r="H65" i="40"/>
  <c r="C39" i="11"/>
  <c r="C43" i="11" s="1"/>
  <c r="C41" i="11" s="1"/>
  <c r="I70" i="39"/>
  <c r="C27" i="12" l="1"/>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57" i="40"/>
  <c r="F57" i="40" s="1"/>
  <c r="B58" i="40"/>
  <c r="F58" i="40" s="1"/>
  <c r="B59" i="40"/>
  <c r="F59" i="40" s="1"/>
  <c r="B52" i="40"/>
  <c r="F52" i="40" s="1"/>
  <c r="B56" i="40"/>
  <c r="F56" i="40" s="1"/>
  <c r="B51" i="40"/>
  <c r="F51" i="40" s="1"/>
  <c r="B54" i="40"/>
  <c r="F54" i="40" s="1"/>
  <c r="C57" i="69"/>
  <c r="C56" i="69" s="1"/>
  <c r="S16" i="1"/>
  <c r="B2" i="40" l="1"/>
  <c r="B3" i="40" s="1"/>
  <c r="C6" i="68"/>
  <c r="C64" i="67"/>
  <c r="C56" i="67"/>
  <c r="C65" i="67" s="1"/>
  <c r="J22" i="67"/>
  <c r="J16" i="67" s="1"/>
  <c r="J25" i="67" s="1"/>
  <c r="C75" i="67"/>
  <c r="C37" i="67"/>
  <c r="C30" i="67" s="1"/>
  <c r="C39" i="67" s="1"/>
  <c r="C48" i="67"/>
  <c r="C60" i="67" s="1"/>
  <c r="AE7" i="1"/>
  <c r="C14" i="15"/>
  <c r="L51" i="67"/>
  <c r="C7" i="68" l="1"/>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E2" i="69"/>
  <c r="AO8" i="1"/>
  <c r="AO6" i="1"/>
  <c r="C46" i="15" l="1"/>
  <c r="B2" i="69"/>
  <c r="B3" i="69" s="1"/>
  <c r="B8" i="70"/>
  <c r="B6" i="70"/>
  <c r="B2" i="68"/>
  <c r="B3" i="67"/>
  <c r="B7" i="70"/>
  <c r="D2" i="33"/>
  <c r="D2" i="34"/>
  <c r="D2" i="21"/>
  <c r="D2" i="36"/>
  <c r="E2" i="68"/>
  <c r="C19" i="9"/>
  <c r="D2" i="37"/>
  <c r="D2" i="35"/>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I14" i="74" l="1"/>
  <c r="B8" i="74" s="1"/>
  <c r="D127" i="9"/>
  <c r="D13" i="52" s="1"/>
  <c r="D12" i="52"/>
  <c r="B38" i="72"/>
  <c r="D20" i="53"/>
  <c r="B40" i="72" s="1"/>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<sst xmlns="http://schemas.openxmlformats.org/spreadsheetml/2006/main" count="7528" uniqueCount="3205">
  <si>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</si>
  <si>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</si>
  <si>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</si>
  <si>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</si>
  <si>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</si>
  <si>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</si>
  <si>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</si>
  <si>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</si>
  <si>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</si>
  <si>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</si>
  <si>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</si>
  <si>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</si>
  <si>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</si>
  <si>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</si>
  <si>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</si>
  <si>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</si>
  <si>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</si>
  <si>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</si>
  <si>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</si>
  <si>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</si>
  <si>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</si>
  <si>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</si>
  <si>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</si>
  <si>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</si>
  <si>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</si>
  <si>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</si>
  <si>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</si>
  <si>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</si>
  <si>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</si>
  <si>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</si>
  <si>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</si>
  <si>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</si>
  <si>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</si>
  <si>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</si>
  <si>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</si>
  <si>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</si>
  <si>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</si>
  <si>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</si>
  <si>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</si>
  <si>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</si>
  <si>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</si>
  <si>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</si>
  <si>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</si>
  <si>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</si>
  <si>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</si>
  <si>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</si>
  <si>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</si>
  <si>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</si>
  <si>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</si>
  <si>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</si>
  <si>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</si>
  <si>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</si>
  <si>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</si>
  <si>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</si>
  <si>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</si>
  <si>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</si>
  <si>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</si>
  <si>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</si>
  <si>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</si>
  <si>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</si>
  <si>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</si>
  <si>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</si>
  <si>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</si>
  <si>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</si>
  <si>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</si>
  <si>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</si>
  <si>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</si>
  <si>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</si>
  <si>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</si>
  <si>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</si>
  <si>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</si>
  <si>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</si>
  <si>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</si>
  <si>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</si>
  <si>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</si>
  <si>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</si>
  <si>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</si>
  <si>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</si>
  <si>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</si>
  <si>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</si>
  <si>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</si>
  <si>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</si>
  <si>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</si>
  <si>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</si>
  <si>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</si>
  <si>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</si>
  <si>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</si>
  <si>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</si>
  <si>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</si>
  <si>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</si>
  <si>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</si>
  <si>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</si>
  <si>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</si>
  <si>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</si>
  <si>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</si>
  <si>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</si>
  <si>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</si>
  <si>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</si>
  <si>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</si>
  <si>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</si>
  <si>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</si>
  <si>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</si>
  <si>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</si>
  <si>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</si>
  <si>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</si>
  <si>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</si>
  <si>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</si>
  <si>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</si>
  <si>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</si>
  <si>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</si>
  <si>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</si>
  <si>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</si>
  <si>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</si>
  <si>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</si>
  <si>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</si>
  <si>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</si>
  <si>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</si>
  <si>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</si>
  <si>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</si>
  <si>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</si>
  <si>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</si>
  <si>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</si>
  <si>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</si>
  <si>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</si>
  <si>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</si>
  <si>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</si>
  <si>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</si>
  <si>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</si>
  <si>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</si>
  <si>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</si>
  <si>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</si>
  <si>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</si>
  <si>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</si>
  <si>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</si>
  <si>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</si>
  <si>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</si>
  <si>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</si>
  <si>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</si>
  <si>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</si>
  <si>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</si>
  <si>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</si>
  <si>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</si>
  <si>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</si>
  <si>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</si>
  <si>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</si>
  <si>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</si>
  <si>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</si>
  <si>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</si>
  <si>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</si>
  <si>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</si>
  <si>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</si>
  <si>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</si>
  <si>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</si>
  <si>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</si>
  <si>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</si>
  <si>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</si>
  <si>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</si>
  <si>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</si>
  <si>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</si>
  <si>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</si>
  <si>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</si>
  <si>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</si>
  <si>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</si>
  <si>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</si>
  <si>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</si>
  <si>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</si>
  <si>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</si>
  <si>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</si>
  <si>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</si>
  <si>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</si>
  <si>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</si>
  <si>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</si>
  <si>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</si>
  <si>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</si>
  <si>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</si>
  <si>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</si>
  <si>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</si>
  <si>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</si>
  <si>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</si>
  <si>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</si>
  <si>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</si>
  <si>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</si>
  <si>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</si>
  <si>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</si>
  <si>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</si>
  <si>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</si>
  <si>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</si>
  <si>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</si>
  <si>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</si>
  <si>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</si>
  <si>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</si>
  <si>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</si>
  <si>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</si>
  <si>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</si>
  <si>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</si>
  <si>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</si>
  <si>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</si>
  <si>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</si>
  <si>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</si>
  <si>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</si>
  <si>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</si>
  <si>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</si>
  <si>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</si>
  <si>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</si>
  <si>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</si>
  <si>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</si>
  <si>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</si>
  <si>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</si>
  <si>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</si>
  <si>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</si>
  <si>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</si>
  <si>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</si>
  <si>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</si>
  <si>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</si>
  <si>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</si>
  <si>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</si>
  <si>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</si>
  <si>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</si>
  <si>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</si>
  <si>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</si>
  <si>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</si>
  <si>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</si>
  <si>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</si>
  <si>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</si>
  <si>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</si>
  <si>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</si>
  <si>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</si>
  <si>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</si>
  <si>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</si>
  <si>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</si>
  <si>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</si>
  <si>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</si>
  <si>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</si>
  <si>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</si>
  <si>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</si>
  <si>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</si>
  <si>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</si>
  <si>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</si>
  <si>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</si>
  <si>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</si>
  <si>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</si>
  <si>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</si>
  <si>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</si>
  <si>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</si>
  <si>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</si>
  <si>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</si>
  <si>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</si>
  <si>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</si>
  <si>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</si>
  <si>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</si>
  <si>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</si>
  <si>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</si>
  <si>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</si>
  <si>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</si>
  <si>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</si>
  <si>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</si>
  <si>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</si>
  <si>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</si>
  <si>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</si>
  <si>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</si>
  <si>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</si>
  <si>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</si>
  <si>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</si>
  <si>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</si>
  <si>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</si>
  <si>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</si>
  <si>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</si>
  <si>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</si>
  <si>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</si>
  <si>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</si>
  <si>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</si>
  <si>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</si>
  <si>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</si>
  <si>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</si>
  <si>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</si>
  <si>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</si>
  <si>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</si>
  <si>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</si>
  <si>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</si>
  <si>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</si>
  <si>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</si>
  <si>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</si>
  <si>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</si>
  <si>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</si>
  <si>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</si>
  <si>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</si>
  <si>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</si>
  <si>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</si>
  <si>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</si>
  <si>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</si>
  <si>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</si>
  <si>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</si>
  <si>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</si>
  <si>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</si>
  <si>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</si>
  <si>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</si>
  <si>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</si>
  <si>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</si>
  <si>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</si>
  <si>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</si>
  <si>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</si>
  <si>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</si>
  <si>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</si>
  <si>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</si>
  <si>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</si>
  <si>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</si>
  <si>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</si>
  <si>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</si>
  <si>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</si>
  <si>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</si>
  <si>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</si>
  <si>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</si>
  <si>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</si>
  <si>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</si>
  <si>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</si>
  <si>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</si>
  <si>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</si>
  <si>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</si>
  <si>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</si>
  <si>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</si>
  <si>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</si>
  <si>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</si>
  <si>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</si>
  <si>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</si>
  <si>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</si>
  <si>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</si>
  <si>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</si>
  <si>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</si>
  <si>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</si>
  <si>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</si>
  <si>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</si>
  <si>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</si>
  <si>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</si>
  <si>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</si>
  <si>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</si>
  <si>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</si>
  <si>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</si>
  <si>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</si>
  <si>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</si>
  <si>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</si>
  <si>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</si>
  <si>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</si>
  <si>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</si>
  <si>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</si>
  <si>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</si>
  <si>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</si>
  <si>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</si>
  <si>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</si>
  <si>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</si>
  <si>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</si>
  <si>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</si>
  <si>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</si>
  <si>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</si>
  <si>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</si>
  <si>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</si>
  <si>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</si>
  <si>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</si>
  <si>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</si>
  <si>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</si>
  <si>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</si>
  <si>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</si>
  <si>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</si>
  <si>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</si>
  <si>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</si>
  <si>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</si>
  <si>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</si>
  <si>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</si>
  <si>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</si>
  <si>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</si>
  <si>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</si>
  <si>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</si>
  <si>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</si>
  <si>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</si>
  <si>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</si>
  <si>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</si>
  <si>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</si>
  <si>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</si>
  <si>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</si>
  <si>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</si>
  <si>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</si>
  <si>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</si>
  <si>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</si>
  <si>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</si>
  <si>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</si>
  <si>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</si>
  <si>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</si>
  <si>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</si>
  <si>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</si>
  <si>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</si>
  <si>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</si>
  <si>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</si>
  <si>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</si>
  <si>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</si>
  <si>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</si>
  <si>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</si>
  <si>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</si>
  <si>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</si>
  <si>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</si>
  <si>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</si>
  <si>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</si>
  <si>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</si>
  <si>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</si>
  <si>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</si>
  <si>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</si>
  <si>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</si>
  <si>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</si>
  <si>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</si>
  <si>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</si>
  <si>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</si>
  <si>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</si>
  <si>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</si>
  <si>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</si>
  <si>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</si>
  <si>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</si>
  <si>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</si>
  <si>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</si>
  <si>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</si>
  <si>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</si>
  <si>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</si>
  <si>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</si>
  <si>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</si>
  <si>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</si>
  <si>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</si>
  <si>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</si>
  <si>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</si>
  <si>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</si>
  <si>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</si>
  <si>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</si>
  <si>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</si>
  <si>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</si>
  <si>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</si>
  <si>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</si>
  <si>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</si>
  <si>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</si>
  <si>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</si>
  <si>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</si>
  <si>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</si>
  <si>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</si>
  <si>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</si>
  <si>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</si>
  <si>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</si>
  <si>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</si>
  <si>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</si>
  <si>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</si>
  <si>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</si>
  <si>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</si>
  <si>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</si>
  <si>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</si>
  <si>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</si>
  <si>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</si>
  <si>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</si>
  <si>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</si>
  <si>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</si>
  <si>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</si>
  <si>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</si>
  <si>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</si>
  <si>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</si>
  <si>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</si>
  <si>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</si>
  <si>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</si>
  <si>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</si>
  <si>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</si>
  <si>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</si>
  <si>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</si>
  <si>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</si>
  <si>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</si>
  <si>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</si>
  <si>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</si>
  <si>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</si>
  <si>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</si>
  <si>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</si>
  <si>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</si>
  <si>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</si>
  <si>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</si>
  <si>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</si>
  <si>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</si>
  <si>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</si>
  <si>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</si>
  <si>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</si>
  <si>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</si>
  <si>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</si>
  <si>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</si>
  <si>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</si>
  <si>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</si>
  <si>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</si>
  <si>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</si>
  <si>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</si>
  <si>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</si>
  <si>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</si>
  <si>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</si>
  <si>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</si>
  <si>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</si>
  <si>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</si>
  <si>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</si>
  <si>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</si>
  <si>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</si>
  <si>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</si>
  <si>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</si>
  <si>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</si>
  <si>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</si>
  <si>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</si>
  <si>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</si>
  <si>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</si>
  <si>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</si>
  <si>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</si>
  <si>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</si>
  <si>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</si>
  <si>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</si>
  <si>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</si>
  <si>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</si>
  <si>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</si>
  <si>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</si>
  <si>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</si>
  <si>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</si>
  <si>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</si>
  <si>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</si>
  <si>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</si>
  <si>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</si>
  <si>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</si>
  <si>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</si>
  <si>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</si>
  <si>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</si>
  <si>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</si>
  <si>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</si>
  <si>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</si>
  <si>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</si>
  <si>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</si>
  <si>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</si>
  <si>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</si>
  <si>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</si>
  <si>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</si>
  <si>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</si>
  <si>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</si>
  <si>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</si>
  <si>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</si>
  <si>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</si>
  <si>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</si>
  <si>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</si>
  <si>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</si>
  <si>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</si>
  <si>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</si>
  <si>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</si>
  <si>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</si>
  <si>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</si>
  <si>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</si>
  <si>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</si>
  <si>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</si>
  <si>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</si>
  <si>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</si>
  <si>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</si>
  <si>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</si>
  <si>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</si>
  <si>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</si>
  <si>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</si>
  <si>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</si>
  <si>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</si>
  <si>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</si>
  <si>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</si>
  <si>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</si>
  <si>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</si>
  <si>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</si>
  <si>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</si>
  <si>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</si>
  <si>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</si>
  <si>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</si>
  <si>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</si>
  <si>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</si>
  <si>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</si>
  <si>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</si>
  <si>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</si>
  <si>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</si>
  <si>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</si>
  <si>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</si>
  <si>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</si>
  <si>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</si>
  <si>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</si>
  <si>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</si>
  <si>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</si>
  <si>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</si>
  <si>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</si>
  <si>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</si>
  <si>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</si>
  <si>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</si>
  <si>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</si>
  <si>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</si>
  <si>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</si>
  <si>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</si>
  <si>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</si>
  <si>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</si>
  <si>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</si>
  <si>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</si>
  <si>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</si>
  <si>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</si>
  <si>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</si>
  <si>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</si>
  <si>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</si>
  <si>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</si>
  <si>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</si>
  <si>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</si>
  <si>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</si>
  <si>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</si>
  <si>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</si>
  <si>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</si>
  <si>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</si>
  <si>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</si>
  <si>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</si>
  <si>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</si>
  <si>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</si>
  <si>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</si>
  <si>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</si>
  <si>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</si>
  <si>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</si>
  <si>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</si>
  <si>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</si>
  <si>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</si>
  <si>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</si>
  <si>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</si>
  <si>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</si>
  <si>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</si>
  <si>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</si>
  <si>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</si>
  <si>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</si>
  <si>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</si>
  <si>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</si>
  <si>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</si>
  <si>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</si>
  <si>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</si>
  <si>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</si>
  <si>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</si>
  <si>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</si>
  <si>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</si>
  <si>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</si>
  <si>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</si>
  <si>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</si>
  <si>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</si>
  <si>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</si>
  <si>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</si>
  <si>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</si>
  <si>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</si>
  <si>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</si>
  <si>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</si>
  <si>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</si>
  <si>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</si>
  <si>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</si>
  <si>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</si>
  <si>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</si>
  <si>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</si>
  <si>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</si>
  <si>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</si>
  <si>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</si>
  <si>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</si>
  <si>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</si>
  <si>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</si>
  <si>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</si>
  <si>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</si>
  <si>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</si>
  <si>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</si>
  <si>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</si>
  <si>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</si>
  <si>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</si>
  <si>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</si>
  <si>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</si>
  <si>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</si>
  <si>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</si>
  <si>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</si>
  <si>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</si>
  <si>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</si>
  <si>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</si>
  <si>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</si>
  <si>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</si>
  <si>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</si>
  <si>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</si>
  <si>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</si>
  <si>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</si>
  <si>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</si>
  <si>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</si>
  <si>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</si>
  <si>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</si>
  <si>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</si>
  <si>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</si>
  <si>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</si>
  <si>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</si>
  <si>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</si>
  <si>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</si>
  <si>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</si>
  <si>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</si>
  <si>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</si>
  <si>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</si>
  <si>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</si>
  <si>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</si>
  <si>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</si>
  <si>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</si>
  <si>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</si>
  <si>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</si>
  <si>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</si>
  <si>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</si>
  <si>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</si>
  <si>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</si>
  <si>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</si>
  <si>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</si>
  <si>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</si>
  <si>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</si>
  <si>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</si>
  <si>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</si>
  <si>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</si>
  <si>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</si>
  <si>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</si>
  <si>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</si>
  <si>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</si>
  <si>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</si>
  <si>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</si>
  <si>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</si>
  <si>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</si>
  <si>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</si>
  <si>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</si>
  <si>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</si>
  <si>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</si>
  <si>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</si>
  <si>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</si>
  <si>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</si>
  <si>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</si>
  <si>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</si>
  <si>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</si>
  <si>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</si>
  <si>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</si>
  <si>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</si>
  <si>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</si>
  <si>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</si>
  <si>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</si>
  <si>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</si>
  <si>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</si>
  <si>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</si>
  <si>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</si>
  <si>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</si>
  <si>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</si>
  <si>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</si>
  <si>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</si>
  <si>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</si>
  <si>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</si>
  <si>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</si>
  <si>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</si>
  <si>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</si>
  <si>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</si>
  <si>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</si>
  <si>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</si>
  <si>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</si>
  <si>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</si>
  <si>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</si>
  <si>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</si>
  <si>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</si>
  <si>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</si>
  <si>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</si>
  <si>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</si>
  <si>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</si>
  <si>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</si>
  <si>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</si>
  <si>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</si>
  <si>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</si>
  <si>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</si>
  <si>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</si>
  <si>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</si>
  <si>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</si>
  <si>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</si>
  <si>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</si>
  <si>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</si>
  <si>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</si>
  <si>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</si>
  <si>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</si>
  <si>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</si>
  <si>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</si>
  <si>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</si>
  <si>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</si>
  <si>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</si>
  <si>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</si>
  <si>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</si>
  <si>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</si>
  <si>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</si>
  <si>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</si>
  <si>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</si>
  <si>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</si>
  <si>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</si>
  <si>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</si>
  <si>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</si>
  <si>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</si>
  <si>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</si>
  <si>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</si>
  <si>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</si>
  <si>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</si>
  <si>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</si>
  <si>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</si>
  <si>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</si>
  <si>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</si>
  <si>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</si>
  <si>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</si>
  <si>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</si>
  <si>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</si>
  <si>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</si>
  <si>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</si>
  <si>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</si>
  <si>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</si>
  <si>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</si>
  <si>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</si>
  <si>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</si>
  <si>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</si>
  <si>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</si>
  <si>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</si>
  <si>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</si>
  <si>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</si>
  <si>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</si>
  <si>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</si>
  <si>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</si>
  <si>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</si>
  <si>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</si>
  <si>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</si>
  <si>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</si>
  <si>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</si>
  <si>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</si>
  <si>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</si>
  <si>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</si>
  <si>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</si>
  <si>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</si>
  <si>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</si>
  <si>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</si>
  <si>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</si>
  <si>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</si>
  <si>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</si>
  <si>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</si>
  <si>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</si>
  <si>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</si>
  <si>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</si>
  <si>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</si>
  <si>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</si>
  <si>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</si>
  <si>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</si>
  <si>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</si>
  <si>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</si>
  <si>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</si>
  <si>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</si>
  <si>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</si>
  <si>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</si>
  <si>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</si>
  <si>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</si>
  <si>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</si>
  <si>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</si>
  <si>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</si>
  <si>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</si>
  <si>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</si>
  <si>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</si>
  <si>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</si>
  <si>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</si>
  <si>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</si>
  <si>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</si>
  <si>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</si>
  <si>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</si>
  <si>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</si>
  <si>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</si>
  <si>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</si>
  <si>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</si>
  <si>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</si>
  <si>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</si>
  <si>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</si>
  <si>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</si>
  <si>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</si>
  <si>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</si>
  <si>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</si>
  <si>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</si>
  <si>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</si>
  <si>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</si>
  <si>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</si>
  <si>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</si>
  <si>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</si>
  <si>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</si>
  <si>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</si>
  <si>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</si>
  <si>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</si>
  <si>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</si>
  <si>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</si>
  <si>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</si>
  <si>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</si>
  <si>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</si>
  <si>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</si>
  <si>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</si>
  <si>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</si>
  <si>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</si>
  <si>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</si>
  <si>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</si>
  <si>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</si>
  <si>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</si>
  <si>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</si>
  <si>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</si>
  <si>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</si>
  <si>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</si>
  <si>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</si>
  <si>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</si>
  <si>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</si>
  <si>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</si>
  <si>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</si>
  <si>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</si>
  <si>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</si>
  <si>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</si>
  <si>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</si>
  <si>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</si>
  <si>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</si>
  <si>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</si>
  <si>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</si>
  <si>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</si>
  <si>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</si>
  <si>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</si>
  <si>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</si>
  <si>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</si>
  <si>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</si>
  <si>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</si>
  <si>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</si>
  <si>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</si>
  <si>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</si>
  <si>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</si>
  <si>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</si>
  <si>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</si>
  <si>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</si>
  <si>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</si>
  <si>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</si>
  <si>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</si>
  <si>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</si>
  <si>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</si>
  <si>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</si>
  <si>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</si>
  <si>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</si>
  <si>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</si>
  <si>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</si>
  <si>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</si>
  <si>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</si>
  <si>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</si>
  <si>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</si>
  <si>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</si>
  <si>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</si>
  <si>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</si>
  <si>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</si>
  <si>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</si>
  <si>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</si>
  <si>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</si>
  <si>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</si>
  <si>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</si>
  <si>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</si>
  <si>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</si>
  <si>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</si>
  <si>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</si>
  <si>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</si>
  <si>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</si>
  <si>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</si>
  <si>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</si>
  <si>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</si>
  <si>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</si>
  <si>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</si>
  <si>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</si>
  <si>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</si>
  <si>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</si>
  <si>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</si>
  <si>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</si>
  <si>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</si>
  <si>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</si>
  <si>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</si>
  <si>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</si>
  <si>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</si>
  <si>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</si>
  <si>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</si>
  <si>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</si>
  <si>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</si>
  <si>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</si>
  <si>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</si>
  <si>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</si>
  <si>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</si>
  <si>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</si>
  <si>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</si>
  <si>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</si>
  <si>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</si>
  <si>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</si>
  <si>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</si>
  <si>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</si>
  <si>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</si>
  <si>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</si>
  <si>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</si>
  <si>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</si>
  <si>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</si>
  <si>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</si>
  <si>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</si>
  <si>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</si>
  <si>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</si>
  <si>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</si>
  <si>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</si>
  <si>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</si>
  <si>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</si>
  <si>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</si>
  <si>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</si>
  <si>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</si>
  <si>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</si>
  <si>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</si>
  <si>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</si>
  <si>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</si>
  <si>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</si>
  <si>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</si>
  <si>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</si>
  <si>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</si>
  <si>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</si>
  <si>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</si>
  <si>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</si>
  <si>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</si>
  <si>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</si>
  <si>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</si>
  <si>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</si>
  <si>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</si>
  <si>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</si>
  <si>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</si>
  <si>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</si>
  <si>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</si>
  <si>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</si>
  <si>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</si>
  <si>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</si>
  <si>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</si>
  <si>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</si>
  <si>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</si>
  <si>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</si>
  <si>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</si>
  <si>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</si>
  <si>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</si>
  <si>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</si>
  <si>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</si>
  <si>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</si>
  <si>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</si>
  <si>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</si>
  <si>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</si>
  <si>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</si>
  <si>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</si>
  <si>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</si>
  <si>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</si>
  <si>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</si>
  <si>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</si>
  <si>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</si>
  <si>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</si>
  <si>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</si>
  <si>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</si>
  <si>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</si>
  <si>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</si>
  <si>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</si>
  <si>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</si>
  <si>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</si>
  <si>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</si>
  <si>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</si>
  <si>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</si>
  <si>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</si>
  <si>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</si>
  <si>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</si>
  <si>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</si>
  <si>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</si>
  <si>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</si>
  <si>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</si>
  <si>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</si>
  <si>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</si>
  <si>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</si>
  <si>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</si>
  <si>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</si>
  <si>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</si>
  <si>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</si>
  <si>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</si>
  <si>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</si>
  <si>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</si>
  <si>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</si>
  <si>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</si>
  <si>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</si>
  <si>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</si>
  <si>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</si>
  <si>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</si>
  <si>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</si>
  <si>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</si>
  <si>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</si>
  <si>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</si>
  <si>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</si>
  <si>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</si>
  <si>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</si>
  <si>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</si>
  <si>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</si>
  <si>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</si>
  <si>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</si>
  <si>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</si>
  <si>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</si>
  <si>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</si>
  <si>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</si>
  <si>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</si>
  <si>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</si>
  <si>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</si>
  <si>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</si>
  <si>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</si>
  <si>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</si>
  <si>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</si>
  <si>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</si>
  <si>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</si>
  <si>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</si>
  <si>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</si>
  <si>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</si>
  <si>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</si>
  <si>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</si>
  <si>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</si>
  <si>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</si>
  <si>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</si>
  <si>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</si>
  <si>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</si>
  <si>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</si>
  <si>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</si>
  <si>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</si>
  <si>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</si>
  <si>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</si>
  <si>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</si>
  <si>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</si>
  <si>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</si>
  <si>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</si>
  <si>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</si>
  <si>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</si>
  <si>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</si>
  <si>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</si>
  <si>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</si>
  <si>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</si>
  <si>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</si>
  <si>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</si>
  <si>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</si>
  <si>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</si>
  <si>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</si>
  <si>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</si>
  <si>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</si>
  <si>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</si>
  <si>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</si>
  <si>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</si>
  <si>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</si>
  <si>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</si>
  <si>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</si>
  <si>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</si>
  <si>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</si>
  <si>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</si>
  <si>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</si>
  <si>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</si>
  <si>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</si>
  <si>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</si>
  <si>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</si>
  <si>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</si>
  <si>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</si>
  <si>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</si>
  <si>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</si>
  <si>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</si>
  <si>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</si>
  <si>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</si>
  <si>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</si>
  <si>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</si>
  <si>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</si>
  <si>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</si>
  <si>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</si>
  <si>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</si>
  <si>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</si>
  <si>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</si>
  <si>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</si>
  <si>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</si>
  <si>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</si>
  <si>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</si>
  <si>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</si>
  <si>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</si>
  <si>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</si>
  <si>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</si>
  <si>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</si>
  <si>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</si>
  <si>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</si>
  <si>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</si>
  <si>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</si>
  <si>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</si>
  <si>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</si>
  <si>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</si>
  <si>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</si>
  <si>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</si>
  <si>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</si>
  <si>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</si>
  <si>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</si>
  <si>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</si>
  <si>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</si>
  <si>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</si>
  <si>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</si>
  <si>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</si>
  <si>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</si>
  <si>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</si>
  <si>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</si>
  <si>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</si>
  <si>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</si>
  <si>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</si>
  <si>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</si>
  <si>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</si>
  <si>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</si>
  <si>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</si>
  <si>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</si>
  <si>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</si>
  <si>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</si>
  <si>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</si>
  <si>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</si>
  <si>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</si>
  <si>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</si>
  <si>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</si>
  <si>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</si>
  <si>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</si>
  <si>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</si>
  <si>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</si>
  <si>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</si>
  <si>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</si>
  <si>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</si>
  <si>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</si>
  <si>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</si>
  <si>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</si>
  <si>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</si>
  <si>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</si>
  <si>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</si>
  <si>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</si>
  <si>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</si>
  <si>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</si>
  <si>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</si>
  <si>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</si>
  <si>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</si>
  <si>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</si>
  <si>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</si>
  <si>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</si>
  <si>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</si>
  <si>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</si>
  <si>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</si>
  <si>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</si>
  <si>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</si>
  <si>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</si>
  <si>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</si>
  <si>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</si>
  <si>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</si>
  <si>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</si>
  <si>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</si>
  <si>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</si>
  <si>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</si>
  <si>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</si>
  <si>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</si>
  <si>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</si>
  <si>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</si>
  <si>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</si>
  <si>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</si>
  <si>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</si>
  <si>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</si>
  <si>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</si>
  <si>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</si>
  <si>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</si>
  <si>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</si>
  <si>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</si>
  <si>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</si>
  <si>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</si>
  <si>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</si>
  <si>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</si>
  <si>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</si>
  <si>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</si>
  <si>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</si>
  <si>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</si>
  <si>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</si>
  <si>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</si>
  <si>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</si>
  <si>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</si>
  <si>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</si>
  <si>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</si>
  <si>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</si>
  <si>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</si>
  <si>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</si>
  <si>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</si>
  <si>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</si>
  <si>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</si>
  <si>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</si>
  <si>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</si>
  <si>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</si>
  <si>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</si>
  <si>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</si>
  <si>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</si>
  <si>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</si>
  <si>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</si>
  <si>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</si>
  <si>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</si>
  <si>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</si>
  <si>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</si>
  <si>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</si>
  <si>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</si>
  <si>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</si>
  <si>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</si>
  <si>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</si>
  <si>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</si>
  <si>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</si>
  <si>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</si>
  <si>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</si>
  <si>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</si>
  <si>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</si>
  <si>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</si>
  <si>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</si>
  <si>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</si>
  <si>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</si>
  <si>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</si>
  <si>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</si>
  <si>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</si>
  <si>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</si>
  <si>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</si>
  <si>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</si>
  <si>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</si>
  <si>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</si>
  <si>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</si>
  <si>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</si>
  <si>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</si>
  <si>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</si>
  <si>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</si>
  <si>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</si>
  <si>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</si>
  <si>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</si>
  <si>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</si>
  <si>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</si>
  <si>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</si>
  <si>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</si>
  <si>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</si>
  <si>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</si>
  <si>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</si>
  <si>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</si>
  <si>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</si>
  <si>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</si>
  <si>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</si>
  <si>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</si>
  <si>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</si>
  <si>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</si>
  <si>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</si>
  <si>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</si>
  <si>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</si>
  <si>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</si>
  <si>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</si>
  <si>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</si>
  <si>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</si>
  <si>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</si>
  <si>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</si>
  <si>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</si>
  <si>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</si>
  <si>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</si>
  <si>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</si>
  <si>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</si>
  <si>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</si>
  <si>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</si>
  <si>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</si>
  <si>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</si>
  <si>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</si>
  <si>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</si>
  <si>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</si>
  <si>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</si>
  <si>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</si>
  <si>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</si>
  <si>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</si>
  <si>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</si>
  <si>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</si>
  <si>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</si>
  <si>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</si>
  <si>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</si>
  <si>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</si>
  <si>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</si>
  <si>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</si>
  <si>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</si>
  <si>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</si>
  <si>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</si>
  <si>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</si>
  <si>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</si>
  <si>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</si>
  <si>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</si>
  <si>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</si>
  <si>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</si>
  <si>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</si>
  <si>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</si>
  <si>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</si>
  <si>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</si>
  <si>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</si>
  <si>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</si>
  <si>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</si>
  <si>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</si>
  <si>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</si>
  <si>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</si>
  <si>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</si>
  <si>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</si>
  <si>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</si>
  <si>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</si>
  <si>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</si>
  <si>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</si>
  <si>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</si>
  <si>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</si>
  <si>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</si>
  <si>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</si>
  <si>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</si>
  <si>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</si>
  <si>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</si>
  <si>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</si>
  <si>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</si>
  <si>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</si>
  <si>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</si>
  <si>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</si>
  <si>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</si>
  <si>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</si>
  <si>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</si>
  <si>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</si>
  <si>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</si>
  <si>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</si>
  <si>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</si>
  <si>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</si>
  <si>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</si>
  <si>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</si>
  <si>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</si>
  <si>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</si>
  <si>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</si>
  <si>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</si>
  <si>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</si>
  <si>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</si>
  <si>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</si>
  <si>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</si>
  <si>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</si>
  <si>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</si>
  <si>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</si>
  <si>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</si>
  <si>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</si>
  <si>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</si>
  <si>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</si>
  <si>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</si>
  <si>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</si>
  <si>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</si>
  <si>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</si>
  <si>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</si>
  <si>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</si>
  <si>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</si>
  <si>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</si>
  <si>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</si>
  <si>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</si>
  <si>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</si>
  <si>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</si>
  <si>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</si>
  <si>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</si>
  <si>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</si>
  <si>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</si>
  <si>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</si>
  <si>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</si>
  <si>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</si>
  <si>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</si>
  <si>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</si>
  <si>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</si>
  <si>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</si>
  <si>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</si>
  <si>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</si>
  <si>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</si>
  <si>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</si>
  <si>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</si>
  <si>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</si>
  <si>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</si>
  <si>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</si>
  <si>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</si>
  <si>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</si>
  <si>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</si>
  <si>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</si>
  <si>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</si>
  <si>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</si>
  <si>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</si>
  <si>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</si>
  <si>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</si>
  <si>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</si>
  <si>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</si>
  <si>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</si>
  <si>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</si>
  <si>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</si>
  <si>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</si>
  <si>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</si>
  <si>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</si>
  <si>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</si>
  <si>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</si>
  <si>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</si>
  <si>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</si>
  <si>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</si>
  <si>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</si>
  <si>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</si>
  <si>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</si>
  <si>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</si>
  <si>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</si>
  <si>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</si>
  <si>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</si>
  <si>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</si>
  <si>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</si>
  <si>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</si>
  <si>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</si>
  <si>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</si>
  <si>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</si>
  <si>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</si>
  <si>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</si>
  <si>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</si>
  <si>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</si>
  <si>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</si>
  <si>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</si>
  <si>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</si>
  <si>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</si>
  <si>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</si>
  <si>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</si>
  <si>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</si>
  <si>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</si>
  <si>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</si>
  <si>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</si>
  <si>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</si>
  <si>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</si>
  <si>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</si>
  <si>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</si>
  <si>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</si>
  <si>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</si>
  <si>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</si>
  <si>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</si>
  <si>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</si>
  <si>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</si>
  <si>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</si>
  <si>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</si>
  <si>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</si>
  <si>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</si>
  <si>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</si>
  <si>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</si>
  <si>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</si>
  <si>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</si>
  <si>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</si>
  <si>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</si>
  <si>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</si>
  <si>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</si>
  <si>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</si>
  <si>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</si>
  <si>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</si>
  <si>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</si>
  <si>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</si>
  <si>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</si>
  <si>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</si>
  <si>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</si>
  <si>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</si>
  <si>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</si>
  <si>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</si>
  <si>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</si>
  <si>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</si>
  <si>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</si>
  <si>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</si>
  <si>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</si>
  <si>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</si>
  <si>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</si>
  <si>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</si>
  <si>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</si>
  <si>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</si>
  <si>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</si>
  <si>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</si>
  <si>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</si>
  <si>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</si>
  <si>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</si>
  <si>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</si>
  <si>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</si>
  <si>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</si>
  <si>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</si>
  <si>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</si>
  <si>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</si>
  <si>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</si>
  <si>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</si>
  <si>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</si>
  <si>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</si>
  <si>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</si>
  <si>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</si>
  <si>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</si>
  <si>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</si>
  <si>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</si>
  <si>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</si>
  <si>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</si>
  <si>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</si>
  <si>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</si>
  <si>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</si>
  <si>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</si>
  <si>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</si>
  <si>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</si>
  <si>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</si>
  <si>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</si>
  <si>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</si>
  <si>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</si>
  <si>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</si>
  <si>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</si>
  <si>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</si>
  <si>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</si>
  <si>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</si>
  <si>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</si>
  <si>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</si>
  <si>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</si>
  <si>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</si>
  <si>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</si>
  <si>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</si>
  <si>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</si>
  <si>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</si>
  <si>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</si>
  <si>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</si>
  <si>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</si>
  <si>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</si>
  <si>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</si>
  <si>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</si>
  <si>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</si>
  <si>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</si>
  <si>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</si>
  <si>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</si>
  <si>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</si>
  <si>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</si>
  <si>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</si>
  <si>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</si>
  <si>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</si>
  <si>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</si>
  <si>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</si>
  <si>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</si>
  <si>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</si>
  <si>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</si>
  <si>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</si>
  <si>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</si>
  <si>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</si>
  <si>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</si>
  <si>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</si>
  <si>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</si>
  <si>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</si>
  <si>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</si>
  <si>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</si>
  <si>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</si>
  <si>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</si>
  <si>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</si>
  <si>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</si>
  <si>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</si>
  <si>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</si>
  <si>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</si>
  <si>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</si>
  <si>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</si>
  <si>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</si>
  <si>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</si>
  <si>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</si>
  <si>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</si>
  <si>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</si>
  <si>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</si>
  <si>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</si>
  <si>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</si>
  <si>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</si>
  <si>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</si>
  <si>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</si>
  <si>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</si>
  <si>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</si>
  <si>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</si>
  <si>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</si>
  <si>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</si>
  <si>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</si>
  <si>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</si>
  <si>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</si>
  <si>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</si>
  <si>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</si>
  <si>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</si>
  <si>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</si>
  <si>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</si>
  <si>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</si>
  <si>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</si>
  <si>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</si>
  <si>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</si>
  <si>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</si>
  <si>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</si>
  <si>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</si>
  <si>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</si>
  <si>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</si>
  <si>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</si>
  <si>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</si>
  <si>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</si>
  <si>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</si>
  <si>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</si>
  <si>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</si>
  <si>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</si>
  <si>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</si>
  <si>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</si>
  <si>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</si>
  <si>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</si>
  <si>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</si>
  <si>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</si>
  <si>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</si>
  <si>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</si>
  <si>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</si>
  <si>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</si>
  <si>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</si>
  <si>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</si>
  <si>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</si>
  <si>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</si>
  <si>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</si>
  <si>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</si>
  <si>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</si>
  <si>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</si>
  <si>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</si>
  <si>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</si>
  <si>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</si>
  <si>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</si>
  <si>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</si>
  <si>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</si>
  <si>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</si>
  <si>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</si>
  <si>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</si>
  <si>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</si>
  <si>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</si>
  <si>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</si>
  <si>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</si>
  <si>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</si>
  <si>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</si>
  <si>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</si>
  <si>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</si>
  <si>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</si>
  <si>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</si>
  <si>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</si>
  <si>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</si>
  <si>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</si>
  <si>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</si>
  <si>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</si>
  <si>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</si>
  <si>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</si>
  <si>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</si>
  <si>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</si>
  <si>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</si>
  <si>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</si>
  <si>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</si>
  <si>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</si>
  <si>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</si>
  <si>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</si>
  <si>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</si>
  <si>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</si>
  <si>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</si>
  <si>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</si>
  <si>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</si>
  <si>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</si>
  <si>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</si>
  <si>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</si>
  <si>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</si>
  <si>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</si>
  <si>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</si>
  <si>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</si>
  <si>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</si>
  <si>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</si>
  <si>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</si>
  <si>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</si>
  <si>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</si>
  <si>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</si>
  <si>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</si>
  <si>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</si>
  <si>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</si>
  <si>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</si>
  <si>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</si>
  <si>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</si>
  <si>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</si>
  <si>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</si>
  <si>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</si>
  <si>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</si>
  <si>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</si>
  <si>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</si>
  <si>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</si>
  <si>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</si>
  <si>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</si>
  <si>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</si>
  <si>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</si>
  <si>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</si>
  <si>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</si>
  <si>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</si>
  <si>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</si>
  <si>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</si>
  <si>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</si>
  <si>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</si>
  <si>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</si>
  <si>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</si>
  <si>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</si>
  <si>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</si>
  <si>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</si>
  <si>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</si>
  <si>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</si>
  <si>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</si>
  <si>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</si>
  <si>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</si>
  <si>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</si>
  <si>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</si>
  <si>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</si>
  <si>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</si>
  <si>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</si>
  <si>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</si>
  <si>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</si>
  <si>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</si>
  <si>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</si>
  <si>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</si>
  <si>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</si>
  <si>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</si>
  <si>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</si>
  <si>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</si>
  <si>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</si>
  <si>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</si>
  <si>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</si>
  <si>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</si>
  <si>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</si>
  <si>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</si>
  <si>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</si>
  <si>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</si>
  <si>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</si>
  <si>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</si>
  <si>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</si>
  <si>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</si>
  <si>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</si>
  <si>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</si>
  <si>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</si>
  <si>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</si>
  <si>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</si>
  <si>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</si>
  <si>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</si>
  <si>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</si>
  <si>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</si>
  <si>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</si>
  <si>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</si>
  <si>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</si>
  <si>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</si>
  <si>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</si>
  <si>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</si>
  <si>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</si>
  <si>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</si>
  <si>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</si>
  <si>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</si>
  <si>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</si>
  <si>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</si>
  <si>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</si>
  <si>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</si>
  <si>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</si>
  <si>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</si>
  <si>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</si>
  <si>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</si>
  <si>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</si>
  <si>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</si>
  <si>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</si>
  <si>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</si>
  <si>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</si>
  <si>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</si>
  <si>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</si>
  <si>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</si>
  <si>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</si>
  <si>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</si>
  <si>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</si>
  <si>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</si>
  <si>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</si>
  <si>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</si>
  <si>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</si>
  <si>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</si>
  <si>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</si>
  <si>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</si>
  <si>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</si>
  <si>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</si>
  <si>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</si>
  <si>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</si>
  <si>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</si>
  <si>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</si>
  <si>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</si>
  <si>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</si>
  <si>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</si>
  <si>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</si>
  <si>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</si>
  <si>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</si>
  <si>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</si>
  <si>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</si>
  <si>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</si>
  <si>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</si>
  <si>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</si>
  <si>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</si>
  <si>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</si>
  <si>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</si>
  <si>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</si>
  <si>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</si>
  <si>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</si>
  <si>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</si>
  <si>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</si>
  <si>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</si>
  <si>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</si>
  <si>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</si>
  <si>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</si>
  <si>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</si>
  <si>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</si>
  <si>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</si>
  <si>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</si>
  <si>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</si>
  <si>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</si>
  <si>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</si>
  <si>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</si>
  <si>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</si>
  <si>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</si>
  <si>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</si>
  <si>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</si>
  <si>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</si>
  <si>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</si>
  <si>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</si>
  <si>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</si>
  <si>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</si>
  <si>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</si>
  <si>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</si>
  <si>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</si>
  <si>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</si>
  <si>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</si>
  <si>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</si>
  <si>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</si>
  <si>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</si>
  <si>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</si>
  <si>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</si>
  <si>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</si>
  <si>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</si>
  <si>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</si>
  <si>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</si>
  <si>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</si>
  <si>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</si>
  <si>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</si>
  <si>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</si>
  <si>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</si>
  <si>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</si>
  <si>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</si>
  <si>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</si>
  <si>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</si>
  <si>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</si>
  <si>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</si>
  <si>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</si>
  <si>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</si>
  <si>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</si>
  <si>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</si>
  <si>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</si>
  <si>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</si>
  <si>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</si>
  <si>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</si>
  <si>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</si>
  <si>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</si>
  <si>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</si>
  <si>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</si>
  <si>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</si>
  <si>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</si>
  <si>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</si>
  <si>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</si>
  <si>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</si>
  <si>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</si>
  <si>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</si>
  <si>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</si>
  <si>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</si>
  <si>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</si>
  <si>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</si>
  <si>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</si>
  <si>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</si>
  <si>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</si>
  <si>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</si>
  <si>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</si>
  <si>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</si>
  <si>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</si>
  <si>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</si>
  <si>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</si>
  <si>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</si>
  <si>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</si>
  <si>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</si>
  <si>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</si>
  <si>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</si>
  <si>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</si>
  <si>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</si>
  <si>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</si>
  <si>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</si>
  <si>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</si>
  <si>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</si>
  <si>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</si>
  <si>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</si>
  <si>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</si>
  <si>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</si>
  <si>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</si>
  <si>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</si>
  <si>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</si>
  <si>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</si>
  <si>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</si>
  <si>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</si>
  <si>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</si>
  <si>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</si>
  <si>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</si>
  <si>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</si>
  <si>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</si>
  <si>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</si>
  <si>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</si>
  <si>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</si>
  <si>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</si>
  <si>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</si>
  <si>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</si>
  <si>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</si>
  <si>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</si>
  <si>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</si>
  <si>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</si>
  <si>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</si>
  <si>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</si>
  <si>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</si>
  <si>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</si>
  <si>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</si>
  <si>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</si>
  <si>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</si>
  <si>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</si>
  <si>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</si>
  <si>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</si>
  <si>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</si>
  <si>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</si>
  <si>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</si>
  <si>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</si>
  <si>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</si>
  <si>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</si>
  <si>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</si>
  <si>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</si>
  <si>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</si>
  <si>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</si>
  <si>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</si>
  <si>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</si>
  <si>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</si>
  <si>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</si>
  <si>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</si>
  <si>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</si>
  <si>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</si>
  <si>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</si>
  <si>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</si>
  <si>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</si>
  <si>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</si>
  <si>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</si>
  <si>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</si>
  <si>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</si>
  <si>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</si>
  <si>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</si>
  <si>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</si>
  <si>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</si>
  <si>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</si>
  <si>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</si>
  <si>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</si>
  <si>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</si>
  <si>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</si>
  <si>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</si>
  <si>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</si>
  <si>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</si>
  <si>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</si>
  <si>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</si>
  <si>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</si>
  <si>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</si>
  <si>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</si>
  <si>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</si>
  <si>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</si>
  <si>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</si>
  <si>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</si>
  <si>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</si>
  <si>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</si>
  <si>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</si>
  <si>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</si>
  <si>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</si>
  <si>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</si>
  <si>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</si>
  <si>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</si>
  <si>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</si>
  <si>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</si>
  <si>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</si>
  <si>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</si>
  <si>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</si>
  <si>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</si>
  <si>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</si>
  <si>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</si>
  <si>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</si>
  <si>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</si>
  <si>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</si>
  <si>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</si>
  <si>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</si>
  <si>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</si>
  <si>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</si>
  <si>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</si>
  <si>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</si>
  <si>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</si>
  <si>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</si>
  <si>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</si>
  <si>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</si>
  <si>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</si>
  <si>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</si>
  <si>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</si>
  <si>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</si>
  <si>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</si>
  <si>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</si>
  <si>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</si>
  <si>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</si>
  <si>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</si>
  <si>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</si>
  <si>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</si>
  <si>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</si>
  <si>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</si>
  <si>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</si>
  <si>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</si>
  <si>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</si>
  <si>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</si>
  <si>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</si>
  <si>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</si>
  <si>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</si>
  <si>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</si>
  <si>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</si>
  <si>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</si>
  <si>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</si>
  <si>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</si>
  <si>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</si>
  <si>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</si>
  <si>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</si>
  <si>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</si>
  <si>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</si>
  <si>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</si>
  <si>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</si>
  <si>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</si>
  <si>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</si>
  <si>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</si>
  <si>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</si>
  <si>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</si>
  <si>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</si>
  <si>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</si>
  <si>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</si>
  <si>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</si>
  <si>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</si>
  <si>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</si>
  <si>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</si>
  <si>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</si>
  <si>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</si>
  <si>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</si>
  <si>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</si>
  <si>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</si>
  <si>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</si>
  <si>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</si>
  <si>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</si>
  <si>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</si>
  <si>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</si>
  <si>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</si>
  <si>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</si>
  <si>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</si>
  <si>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</si>
  <si>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</si>
  <si>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</si>
  <si>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</si>
  <si>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</si>
  <si>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</si>
  <si>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</si>
  <si>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</si>
  <si>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</si>
  <si>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</si>
  <si>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</si>
  <si>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</si>
  <si>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</si>
  <si>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</si>
  <si>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</si>
  <si>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</si>
  <si>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</si>
  <si>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</si>
  <si>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</si>
  <si>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</si>
  <si>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</si>
  <si>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</si>
  <si>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</si>
  <si>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</si>
  <si>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</si>
  <si>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</si>
  <si>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</si>
  <si>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</si>
  <si>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</si>
  <si>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</si>
  <si>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</si>
  <si>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</si>
  <si>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</si>
  <si>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</si>
  <si>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</si>
  <si>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</si>
  <si>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</si>
  <si>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</si>
  <si>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</si>
  <si>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</si>
  <si>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</si>
  <si>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</si>
  <si>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</si>
  <si>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</si>
  <si>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</si>
  <si>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</si>
  <si>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</si>
  <si>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</si>
  <si>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</si>
  <si>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</si>
  <si>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</si>
  <si>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</si>
  <si>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</si>
  <si>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</si>
  <si>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</si>
  <si>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</si>
  <si>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</si>
  <si>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</si>
  <si>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</si>
  <si>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</si>
  <si>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</si>
  <si>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</si>
  <si>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</si>
  <si>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</si>
  <si>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</si>
  <si>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</si>
  <si>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</si>
  <si>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</si>
  <si>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</si>
  <si>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</si>
  <si>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</si>
  <si>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</si>
  <si>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</si>
  <si>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</si>
  <si>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</si>
  <si>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</si>
  <si>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</si>
  <si>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</si>
  <si>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</si>
  <si>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</si>
  <si>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</si>
  <si>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</si>
  <si>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</si>
  <si>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</si>
  <si>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</si>
  <si>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</si>
  <si>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</si>
  <si>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</si>
  <si>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</si>
  <si>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</si>
  <si>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</si>
  <si>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</si>
  <si>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</si>
  <si>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</si>
  <si>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</si>
  <si>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</si>
  <si>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</si>
  <si>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</si>
  <si>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</si>
  <si>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</si>
  <si>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</si>
  <si>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</si>
  <si>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</si>
  <si>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</si>
  <si>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</si>
  <si>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</si>
  <si>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</si>
  <si>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</si>
  <si>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</si>
  <si>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</si>
  <si>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</si>
  <si>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</si>
  <si>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</si>
  <si>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</si>
  <si>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</si>
  <si>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</si>
  <si>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</si>
  <si>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</si>
  <si>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</si>
  <si>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</si>
  <si>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</si>
  <si>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</si>
  <si>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</si>
  <si>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</si>
  <si>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</si>
  <si>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</si>
  <si>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</si>
  <si>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</si>
  <si>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</si>
  <si>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</si>
  <si>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</si>
  <si>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</si>
  <si>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</si>
  <si>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</si>
  <si>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</si>
  <si>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</si>
  <si>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</si>
  <si>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</si>
  <si>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</si>
  <si>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</si>
  <si>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</si>
  <si>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</si>
  <si>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</si>
  <si>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</si>
  <si>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</si>
  <si>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</si>
  <si>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</si>
  <si>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</si>
  <si>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</si>
  <si>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</si>
  <si>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</si>
  <si>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</si>
  <si>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</si>
  <si>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</si>
  <si>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</si>
  <si>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</si>
  <si>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</si>
  <si>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</si>
  <si>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</si>
  <si>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</si>
  <si>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</si>
  <si>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</si>
  <si>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</si>
  <si>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</si>
  <si>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</si>
  <si>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</si>
  <si>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</si>
  <si>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</si>
  <si>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</si>
  <si>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</si>
  <si>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</si>
  <si>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</si>
  <si>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</si>
  <si>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</si>
  <si>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</si>
  <si>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</si>
  <si>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</si>
  <si>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</si>
  <si>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</si>
  <si>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</si>
  <si>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</si>
  <si>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</si>
  <si>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</si>
  <si>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</si>
  <si>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</si>
  <si>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</si>
  <si>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</si>
  <si>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</si>
  <si>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</si>
  <si>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</si>
  <si>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</si>
  <si>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</si>
  <si>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</si>
  <si>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</si>
  <si>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</si>
  <si>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</si>
  <si>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</si>
  <si>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</si>
  <si>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</si>
  <si>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</si>
  <si>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</si>
  <si>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</si>
  <si>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</si>
  <si>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</si>
  <si>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</si>
  <si>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</si>
  <si>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</si>
  <si>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</si>
  <si>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</si>
  <si>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</si>
  <si>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</si>
  <si>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</si>
  <si>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</si>
  <si>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</si>
  <si>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</si>
  <si>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</si>
  <si>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</si>
  <si>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</si>
  <si>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</si>
  <si>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</si>
  <si>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</si>
  <si>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</si>
  <si>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</si>
  <si>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</si>
  <si>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</si>
  <si>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</si>
  <si>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</si>
  <si>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</si>
  <si>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</si>
  <si>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</si>
  <si>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</si>
  <si>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</si>
  <si>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</si>
  <si>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</si>
  <si>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</si>
  <si>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</si>
  <si>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</si>
  <si>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</si>
  <si>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</si>
  <si>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</si>
  <si>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</si>
  <si>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</si>
  <si>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</si>
  <si>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</si>
  <si>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</si>
  <si>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</si>
  <si>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</si>
  <si>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</si>
  <si>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</si>
  <si>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</si>
  <si>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</si>
  <si>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</si>
  <si>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</si>
  <si>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</si>
  <si>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</si>
  <si>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</si>
  <si>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</si>
  <si>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</si>
  <si>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</si>
  <si>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</si>
  <si>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</si>
  <si>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</si>
  <si>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</si>
  <si>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</si>
  <si>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</si>
  <si>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</si>
  <si>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</si>
  <si>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</si>
  <si>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</si>
  <si>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</si>
  <si>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</si>
  <si>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</si>
  <si>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</si>
  <si>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</si>
  <si>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</si>
  <si>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</si>
  <si>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</si>
  <si>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</si>
  <si>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</si>
  <si>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</si>
  <si>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</si>
  <si>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</si>
  <si>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</si>
  <si>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</si>
  <si>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</si>
  <si>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</si>
  <si>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</si>
  <si>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</si>
  <si>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</si>
  <si>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</si>
  <si>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</si>
  <si>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</si>
  <si>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</si>
  <si>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</si>
  <si>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</si>
  <si>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</si>
  <si>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</si>
  <si>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</si>
  <si>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</si>
  <si>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</si>
  <si>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</si>
  <si>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</si>
  <si>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</si>
  <si>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</si>
  <si>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</si>
  <si>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</si>
  <si>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</si>
  <si>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</si>
  <si>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</si>
  <si>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</si>
  <si>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</si>
  <si>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</si>
  <si>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</si>
  <si>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</si>
  <si>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</si>
  <si>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</si>
  <si>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</si>
  <si>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</si>
  <si>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</si>
  <si>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</si>
  <si>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</si>
  <si>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</si>
  <si>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</si>
  <si>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</si>
  <si>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</si>
  <si>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</si>
  <si>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</si>
  <si>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</si>
  <si>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</si>
  <si>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</si>
  <si>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</si>
  <si>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</si>
  <si>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</si>
  <si>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</si>
  <si>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</si>
  <si>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</si>
  <si>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</si>
  <si>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</si>
  <si>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</si>
  <si>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</si>
  <si>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</si>
  <si>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</si>
  <si>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</si>
  <si>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</si>
  <si>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</si>
  <si>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</si>
  <si>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</si>
  <si>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</si>
  <si>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</si>
  <si>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</si>
  <si>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</si>
  <si>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</si>
  <si>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</si>
  <si>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</si>
  <si>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</si>
  <si>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</si>
  <si>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</si>
  <si>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</si>
  <si>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</si>
  <si>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</si>
  <si>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</si>
  <si>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</si>
  <si>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</si>
  <si>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</si>
  <si>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</si>
  <si>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</si>
  <si>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</si>
  <si>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</si>
  <si>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</si>
  <si>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</si>
  <si>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</si>
  <si>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</si>
  <si>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</si>
  <si>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</si>
  <si>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</si>
  <si>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</si>
  <si>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</si>
  <si>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</si>
  <si>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</si>
  <si>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</si>
  <si>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</si>
  <si>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</si>
  <si>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</si>
  <si>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</si>
  <si>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</si>
  <si>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</si>
  <si>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</si>
  <si>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</si>
  <si>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</si>
  <si>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</si>
  <si>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</si>
  <si>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</si>
  <si>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</si>
  <si>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</si>
  <si>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</si>
  <si>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</si>
  <si>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</si>
  <si>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</si>
  <si>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</si>
  <si>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</si>
  <si>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</si>
  <si>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</si>
  <si>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</si>
  <si>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</si>
  <si>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</si>
  <si>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</si>
  <si>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</si>
  <si>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</si>
  <si>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</si>
  <si>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</si>
  <si>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</si>
  <si>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</si>
  <si>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</si>
  <si>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</si>
  <si>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</si>
  <si>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</si>
  <si>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</si>
  <si>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</si>
  <si>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</si>
  <si>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</si>
  <si>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</si>
  <si>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</si>
  <si>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</si>
  <si>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</si>
  <si>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</si>
  <si>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</si>
  <si>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</si>
  <si>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</si>
  <si>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</si>
  <si>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</si>
  <si>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</si>
  <si>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</si>
  <si>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</si>
  <si>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</si>
  <si>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</si>
  <si>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</si>
  <si>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</si>
  <si>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</si>
  <si>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</si>
  <si>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</si>
  <si>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</si>
  <si>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</si>
  <si>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</si>
  <si>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</si>
  <si>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</si>
  <si>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</si>
  <si>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</si>
  <si>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</si>
  <si>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</si>
  <si>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</si>
  <si>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</si>
  <si>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</si>
  <si>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</si>
  <si>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</si>
  <si>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</si>
  <si>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</si>
  <si>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</si>
  <si>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</si>
  <si>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</si>
  <si>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</si>
  <si>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</si>
  <si>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</si>
  <si>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</si>
  <si>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</si>
  <si>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</si>
  <si>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</si>
  <si>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</si>
  <si>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</si>
  <si>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</si>
  <si>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</si>
  <si>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</si>
  <si>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</si>
  <si>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</si>
  <si>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</si>
  <si>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</si>
  <si>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</si>
  <si>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</si>
  <si>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</si>
  <si>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</si>
  <si>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</si>
  <si>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</si>
  <si>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</si>
  <si>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</si>
  <si>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</si>
  <si>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</si>
  <si>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</si>
  <si>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</si>
  <si>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</si>
  <si>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</si>
  <si>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</si>
  <si>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</si>
  <si>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</si>
  <si>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</si>
  <si>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</si>
  <si>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</si>
  <si>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</si>
  <si>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</si>
  <si>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</si>
  <si>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</si>
  <si>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</si>
  <si>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</si>
  <si>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</si>
  <si>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</si>
  <si>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</si>
  <si>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</si>
  <si>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</si>
  <si>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</si>
  <si>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</si>
  <si>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</si>
  <si>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</si>
  <si>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</si>
  <si>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</si>
  <si>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</si>
  <si>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</si>
  <si>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</si>
  <si>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</si>
  <si>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</si>
  <si>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</si>
  <si>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</si>
  <si>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</si>
  <si>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</si>
  <si>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</si>
  <si>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</si>
  <si>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</si>
  <si>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</si>
  <si>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</si>
  <si>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</si>
  <si>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</si>
  <si>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</si>
  <si>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</si>
  <si>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</si>
  <si>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</si>
  <si>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</si>
  <si>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</si>
  <si>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</si>
  <si>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</si>
  <si>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</si>
  <si>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</si>
  <si>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</si>
  <si>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</si>
  <si>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</si>
  <si>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</si>
  <si>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</si>
  <si>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</si>
  <si>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</si>
  <si>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</si>
  <si>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</si>
  <si>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</si>
  <si>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</si>
  <si>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</si>
  <si>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</si>
  <si>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</si>
  <si>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</si>
  <si>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</si>
  <si>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</si>
  <si>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</si>
  <si>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</si>
  <si>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</si>
  <si>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</si>
  <si>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</si>
  <si>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</si>
  <si>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</si>
  <si>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</si>
  <si>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</si>
  <si>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</si>
  <si>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</si>
  <si>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</si>
  <si>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</si>
  <si>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</si>
  <si>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</si>
  <si>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</si>
  <si>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</si>
  <si>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</si>
  <si>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</si>
  <si>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</si>
  <si>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</si>
  <si>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</si>
  <si>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</si>
  <si>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</si>
  <si>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</si>
  <si>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</si>
  <si>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</si>
  <si>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</si>
  <si>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</si>
  <si>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</si>
  <si>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</si>
  <si>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</si>
  <si>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</si>
  <si>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</si>
  <si>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</si>
  <si>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</si>
  <si>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</si>
  <si>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</si>
  <si>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</si>
  <si>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</si>
  <si>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</si>
  <si>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</si>
  <si>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</si>
  <si>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</si>
  <si>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</si>
  <si>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</si>
  <si>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</si>
  <si>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</si>
  <si>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</si>
  <si>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</si>
  <si>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</si>
  <si>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</si>
  <si>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</si>
  <si>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</si>
  <si>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</si>
  <si>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</si>
  <si>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</si>
  <si>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</si>
  <si>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</si>
  <si>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</si>
  <si>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</si>
  <si>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</si>
  <si>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</si>
  <si>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</si>
  <si>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</si>
  <si>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</si>
  <si>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</si>
  <si>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</si>
  <si>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</si>
  <si>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</si>
  <si>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</si>
  <si>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</si>
  <si>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</si>
  <si>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</si>
  <si>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</si>
  <si>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</si>
  <si>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</si>
  <si>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</si>
  <si>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</si>
  <si>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</si>
  <si>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</si>
  <si>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</si>
  <si>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</si>
  <si>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</si>
  <si>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</si>
  <si>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</si>
  <si>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</si>
  <si>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</si>
  <si>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</si>
  <si>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</si>
  <si>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</si>
  <si>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</si>
  <si>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</si>
  <si>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</si>
  <si>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</si>
  <si>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</si>
  <si>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</si>
  <si>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</si>
  <si>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</si>
  <si>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</si>
  <si>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</si>
  <si>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</si>
  <si>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</si>
  <si>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</si>
  <si>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</si>
  <si>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</si>
  <si>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</si>
  <si>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</si>
  <si>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</si>
  <si>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</si>
  <si>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</si>
  <si>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</si>
  <si>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</si>
  <si>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</si>
  <si>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</si>
  <si>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</si>
  <si>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</si>
  <si>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</si>
  <si>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</si>
  <si>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</si>
  <si>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</si>
  <si>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</si>
  <si>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</si>
  <si>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</si>
  <si>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</si>
  <si>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</si>
  <si>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</si>
  <si>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</si>
  <si>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</si>
  <si>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</si>
  <si>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</si>
  <si>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</si>
  <si>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</si>
  <si>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</si>
  <si>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</si>
  <si>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</si>
  <si>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</si>
  <si>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</si>
  <si>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</si>
  <si>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</si>
  <si>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</si>
  <si>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</si>
  <si>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</si>
  <si>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</si>
  <si>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</si>
  <si>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</si>
  <si>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</si>
  <si>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</si>
  <si>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</si>
  <si>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</si>
  <si>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</si>
  <si>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</si>
  <si>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</si>
  <si>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</si>
  <si>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</si>
  <si>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</si>
  <si>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</si>
  <si>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</si>
  <si>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</si>
  <si>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</si>
  <si>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</si>
  <si>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</si>
  <si>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</si>
  <si>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</si>
  <si>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</si>
  <si>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</si>
  <si>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</si>
  <si>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</si>
  <si>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</si>
  <si>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</si>
  <si>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</si>
  <si>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</si>
  <si>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</si>
  <si>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</si>
  <si>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</si>
  <si>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</si>
  <si>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</si>
  <si>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</si>
  <si>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</si>
  <si>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</si>
  <si>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</si>
  <si>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</si>
  <si>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</si>
  <si>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</si>
  <si>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</si>
  <si>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</si>
  <si>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</si>
  <si>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</si>
  <si>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</si>
  <si>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</si>
  <si>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</si>
  <si>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</si>
  <si>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</si>
  <si>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</si>
  <si>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</si>
  <si>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</si>
  <si>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</si>
  <si>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</si>
  <si>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</si>
  <si>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</si>
  <si>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</si>
  <si>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</si>
  <si>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</si>
  <si>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</si>
  <si>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</si>
  <si>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</si>
  <si>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</si>
  <si>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</si>
  <si>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</si>
  <si>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</si>
  <si>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</si>
  <si>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</si>
  <si>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</si>
  <si>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</si>
  <si>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</si>
  <si>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</si>
  <si>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</si>
  <si>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</si>
  <si>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</si>
  <si>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</si>
  <si>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</si>
  <si>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</si>
  <si>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</si>
  <si>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</si>
  <si>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</si>
  <si>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</si>
  <si>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</si>
  <si>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</si>
  <si>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</si>
  <si>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</si>
  <si>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</si>
  <si>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</si>
  <si>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</si>
  <si>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</si>
  <si>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</si>
  <si>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</si>
  <si>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</si>
  <si>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</si>
  <si>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</si>
  <si>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</si>
  <si>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</si>
  <si>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</si>
  <si>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</si>
  <si>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</si>
  <si>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</si>
  <si>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</si>
  <si>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</si>
  <si>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</si>
  <si>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</si>
  <si>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</si>
  <si>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</si>
  <si>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</si>
  <si>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</si>
  <si>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</si>
  <si>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</si>
  <si>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</si>
  <si>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</si>
  <si>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</si>
  <si>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</si>
  <si>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</si>
  <si>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</si>
  <si>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</si>
  <si>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</si>
  <si>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</si>
  <si>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</si>
  <si>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</si>
  <si>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</si>
  <si>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</si>
  <si>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</si>
  <si>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</si>
  <si>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</si>
  <si>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</si>
  <si>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</si>
  <si>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</si>
  <si>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</si>
  <si>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</si>
  <si>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</si>
  <si>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</si>
  <si>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</si>
  <si>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</si>
  <si>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</si>
  <si>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</si>
  <si>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</si>
  <si>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</si>
  <si>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</si>
  <si>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</si>
  <si>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</si>
  <si>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</si>
  <si>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</si>
  <si>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</si>
  <si>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</si>
  <si>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</si>
  <si>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</si>
  <si>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</si>
  <si>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</si>
  <si>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</si>
  <si>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</si>
  <si>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</si>
  <si>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</si>
  <si>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</si>
  <si>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</si>
  <si>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</si>
  <si>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</si>
  <si>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</si>
  <si>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</si>
  <si>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</si>
  <si>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</si>
  <si>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</si>
  <si>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</si>
  <si>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</si>
  <si>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</si>
  <si>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</si>
  <si>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</si>
  <si>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</si>
  <si>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</si>
  <si>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</si>
  <si>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</si>
  <si>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</si>
  <si>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</si>
  <si>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</si>
  <si>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</si>
  <si>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</si>
  <si>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</si>
  <si>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</si>
  <si>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</si>
  <si>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</si>
  <si>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</si>
  <si>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</si>
  <si>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</si>
  <si>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</si>
  <si>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</si>
  <si>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</si>
  <si>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</si>
  <si>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</si>
  <si>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</si>
  <si>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</si>
  <si>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</si>
  <si>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</si>
  <si>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</si>
  <si>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</si>
  <si>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</si>
  <si>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</si>
  <si>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</si>
  <si>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</si>
  <si>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</si>
  <si>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</si>
  <si>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</si>
  <si>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</si>
  <si>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</si>
  <si>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</si>
  <si>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</si>
  <si>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</si>
  <si>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</si>
  <si>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</si>
  <si>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</si>
  <si>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</si>
  <si>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</si>
  <si>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</si>
  <si>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</si>
  <si>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</si>
  <si>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</si>
  <si>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</si>
  <si>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</si>
  <si>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</si>
  <si>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</si>
  <si>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</si>
  <si>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</si>
  <si>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</si>
  <si>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</si>
  <si>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</si>
  <si>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</si>
  <si>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</si>
  <si>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</si>
  <si>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</si>
  <si>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</si>
  <si>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</si>
  <si>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</si>
  <si>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</si>
  <si>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t>察哈尔大街东侧、兴业燃气北侧</t>
    </r>
    <r>
      <rPr>
        <sz val="12"/>
        <color rgb="FF444444"/>
        <rFont val="Verdana"/>
        <family val="2"/>
      </rPr>
      <t>(河北省张家口市张北县 )</t>
    </r>
  </si>
  <si>
    <t>土地位置：</t>
  </si>
  <si>
    <t>察哈尔大街东侧、兴业燃气北侧</t>
  </si>
  <si>
    <t>土地四至：</t>
  </si>
  <si>
    <t>地块编号：</t>
  </si>
  <si>
    <t>[2017]0228-6</t>
  </si>
  <si>
    <t>用地性质：</t>
  </si>
  <si>
    <t>工业用地</t>
  </si>
  <si>
    <t>出让方式：</t>
  </si>
  <si>
    <t>挂牌</t>
  </si>
  <si>
    <t>总用地面积：</t>
  </si>
  <si>
    <t>57814㎡</t>
  </si>
  <si>
    <t>代征面积：</t>
  </si>
  <si>
    <t>建设用地面积：</t>
  </si>
  <si>
    <t>规划建筑面积：</t>
  </si>
  <si>
    <t>69376.80㎡</t>
  </si>
  <si>
    <t>容积率：</t>
  </si>
  <si>
    <t>大于或等于1并且小于或等于1.2</t>
  </si>
  <si>
    <t>开发程度：</t>
  </si>
  <si>
    <t>建筑密度：</t>
  </si>
  <si>
    <t>大于或等于30并且小于或等于50</t>
  </si>
  <si>
    <t>绿化率：</t>
  </si>
  <si>
    <t>小于或等于15</t>
  </si>
  <si>
    <t>商业比例：</t>
  </si>
  <si>
    <t>限制高度：</t>
  </si>
  <si>
    <t>小于或等于20</t>
  </si>
  <si>
    <t>出让年限：</t>
  </si>
  <si>
    <t>50年</t>
  </si>
  <si>
    <t>保障房类型：</t>
  </si>
  <si>
    <t>成交保障房面积：</t>
  </si>
  <si>
    <t>推出保障房面积：</t>
  </si>
  <si>
    <t>配建保障房情况：</t>
  </si>
  <si>
    <t>公告时间：</t>
  </si>
  <si>
    <t>起始时间：</t>
  </si>
  <si>
    <t>截止时间：</t>
  </si>
  <si>
    <t>成交时间：</t>
  </si>
  <si>
    <t>交易状况：</t>
  </si>
  <si>
    <t>已成交</t>
  </si>
  <si>
    <t>起始价：</t>
  </si>
  <si>
    <t>867.20万元</t>
  </si>
  <si>
    <t>成交价：</t>
  </si>
  <si>
    <t>溢价率：</t>
  </si>
  <si>
    <t>受让单位：</t>
  </si>
  <si>
    <t>张北艾郎风电科技发展有限公司</t>
  </si>
  <si>
    <t>推出土地单价：</t>
  </si>
  <si>
    <t>150.00元/㎡</t>
  </si>
  <si>
    <t>成交土地单价：</t>
  </si>
  <si>
    <t>推出每亩价：</t>
  </si>
  <si>
    <t>10.00万元/亩</t>
  </si>
  <si>
    <t>成交每亩价：</t>
  </si>
  <si>
    <t>推出楼面价：</t>
  </si>
  <si>
    <t>125.00元/㎡    </t>
  </si>
  <si>
    <t>成交楼面价：</t>
  </si>
  <si>
    <t>保证金：</t>
  </si>
  <si>
    <t>加价幅度：</t>
  </si>
  <si>
    <t>咨询电话：</t>
  </si>
  <si>
    <t>0313-5357005</t>
  </si>
  <si>
    <t>公告编号：</t>
  </si>
  <si>
    <t>告字[2017]01号</t>
  </si>
  <si>
    <t>出让单位：</t>
  </si>
  <si>
    <t>张北县公共资源交易中心</t>
  </si>
  <si>
    <t>土地公告：</t>
  </si>
  <si>
    <t>下载公告</t>
  </si>
  <si>
    <t>备注：</t>
  </si>
  <si>
    <t>[2016]1206-1</t>
  </si>
  <si>
    <t>47662㎡</t>
  </si>
  <si>
    <t>71493㎡</t>
  </si>
  <si>
    <t>大于或等于1并且小于或等于1.5</t>
  </si>
  <si>
    <t>小于或等于25</t>
  </si>
  <si>
    <t>734.20万元</t>
  </si>
  <si>
    <t>张北禾望电器有限公司</t>
  </si>
  <si>
    <t>154.04元/㎡</t>
  </si>
  <si>
    <t>10.27万元/亩</t>
  </si>
  <si>
    <t>102.70元/㎡    </t>
  </si>
  <si>
    <t>告字[2016]05号</t>
  </si>
  <si>
    <t>该地块项目类型为电器制造业，土地竞买人需提供项目可行性研究报告、资金投入计划等相关资料。</t>
  </si>
  <si>
    <r>
      <t>安固里大道北侧、土黄线西180米处</t>
    </r>
    <r>
      <rPr>
        <sz val="12"/>
        <color rgb="FF444444"/>
        <rFont val="Verdana"/>
        <family val="2"/>
      </rPr>
      <t>(河北省张家口市张北县 )</t>
    </r>
  </si>
  <si>
    <t>安固里大道北侧、土黄线西180米处</t>
  </si>
  <si>
    <t>[2016]0705</t>
  </si>
  <si>
    <t>133333㎡</t>
  </si>
  <si>
    <t>199999.50㎡</t>
  </si>
  <si>
    <t>大于或等于40并且小于或等于50</t>
  </si>
  <si>
    <t>2000万元</t>
  </si>
  <si>
    <t>张北榕泰云谷数据有限公司</t>
  </si>
  <si>
    <t>100.00元/㎡    </t>
  </si>
  <si>
    <t>告字[2016]03号</t>
  </si>
  <si>
    <t>一般</t>
  </si>
  <si>
    <t>较差</t>
  </si>
  <si>
    <t>较好</t>
  </si>
  <si>
    <t>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</si>
  <si>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</si>
  <si>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</si>
  <si>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</si>
  <si>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</si>
  <si>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</si>
  <si>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</si>
  <si>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</si>
  <si>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r>
      <rPr>
        <sz val="11"/>
        <rFont val="宋体"/>
        <family val="3"/>
        <charset val="134"/>
      </rPr>
      <t>不规则</t>
    </r>
    <r>
      <rPr>
        <sz val="11"/>
        <rFont val="Arial"/>
        <family val="2"/>
      </rPr>
      <t xml:space="preserve"> </t>
    </r>
    <phoneticPr fontId="3" type="noConversion"/>
  </si>
  <si>
    <t>六通</t>
    <phoneticPr fontId="3" type="noConversion"/>
  </si>
  <si>
    <t>五通</t>
    <phoneticPr fontId="3" type="noConversion"/>
  </si>
  <si>
    <t>四通</t>
    <phoneticPr fontId="3" type="noConversion"/>
  </si>
  <si>
    <t>三通</t>
    <phoneticPr fontId="3" type="noConversion"/>
  </si>
  <si>
    <t>七通</t>
    <phoneticPr fontId="47" type="noConversion"/>
  </si>
  <si>
    <t>好</t>
  </si>
  <si>
    <t>差</t>
  </si>
  <si>
    <t>工业</t>
    <phoneticPr fontId="47" type="noConversion"/>
  </si>
  <si>
    <t>城市主干道</t>
  </si>
  <si>
    <t>较规则</t>
  </si>
  <si>
    <t>单位面积地价</t>
  </si>
  <si>
    <t>2017-1-0639-P01DYGJ2</t>
    <phoneticPr fontId="6" type="noConversion"/>
  </si>
  <si>
    <t>地上</t>
  </si>
  <si>
    <t>联合生产厂房</t>
    <phoneticPr fontId="3" type="noConversion"/>
  </si>
  <si>
    <t>锅炉房</t>
    <phoneticPr fontId="3" type="noConversion"/>
  </si>
  <si>
    <t>污水处理场</t>
    <phoneticPr fontId="3" type="noConversion"/>
  </si>
  <si>
    <t>是</t>
  </si>
  <si>
    <t>地上工业</t>
  </si>
  <si>
    <t>地上工业</t>
    <phoneticPr fontId="7" type="noConversion"/>
  </si>
  <si>
    <t>收益法</t>
  </si>
  <si>
    <t>钢混</t>
  </si>
  <si>
    <t>工业剩余36.72</t>
    <phoneticPr fontId="47" type="noConversion"/>
  </si>
  <si>
    <t>五通</t>
  </si>
  <si>
    <t>其他省市系数</t>
  </si>
  <si>
    <t>成本法</t>
  </si>
  <si>
    <t>现房</t>
  </si>
  <si>
    <t>项目全部</t>
  </si>
  <si>
    <t>张市察国用（2004）第0001号</t>
  </si>
  <si>
    <t>土地证</t>
  </si>
  <si>
    <t>房产证号</t>
  </si>
  <si>
    <t>总层数</t>
  </si>
  <si>
    <t>面积</t>
  </si>
  <si>
    <t>结构</t>
  </si>
  <si>
    <t>用途</t>
  </si>
  <si>
    <t>内外饰</t>
  </si>
  <si>
    <t>建安</t>
  </si>
  <si>
    <t>张房权证察字第00334号</t>
  </si>
  <si>
    <t>5层</t>
  </si>
  <si>
    <t>框架、钢构</t>
  </si>
  <si>
    <t>联合生产厂房</t>
  </si>
  <si>
    <t>4层</t>
  </si>
  <si>
    <t>框架、砖混</t>
  </si>
  <si>
    <t>锅炉房</t>
  </si>
  <si>
    <t>52342.5㎡</t>
  </si>
  <si>
    <t>1层</t>
  </si>
  <si>
    <t>砖混</t>
  </si>
  <si>
    <t>污水处理厂房</t>
  </si>
  <si>
    <t>高速路</t>
  </si>
  <si>
    <t>押一</t>
  </si>
  <si>
    <t>未包含在土地购买价格中</t>
  </si>
  <si>
    <t>全部缴纳</t>
  </si>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</sst>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8"/>
      <color rgb="FF333333"/>
      <name val="Verdana"/>
      <family val="2"/>
    </font>
    <font>
      <sz val="12"/>
      <color rgb="FF444444"/>
      <name val="Verdan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1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7" fillId="0" borderId="0" xfId="0" applyFont="1">
      <alignment vertical="center"/>
    </xf>
    <xf numFmtId="14" fontId="0" fillId="0" borderId="0" xfId="0" applyNumberFormat="1">
      <alignment vertical="center"/>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112" fillId="0" borderId="44" xfId="0" applyNumberFormat="1" applyFont="1" applyFill="1" applyBorder="1" applyAlignment="1" applyProtection="1">
      <alignment horizontal="center" vertical="center" wrapText="1"/>
      <protection locked="0"/>
    </xf>
    <xf numFmtId="1" fontId="101" fillId="3" borderId="51" xfId="0" applyNumberFormat="1" applyFont="1" applyFill="1" applyBorder="1" applyAlignment="1" applyProtection="1">
      <alignment vertical="center" wrapText="1"/>
      <protection locked="0"/>
    </xf>
    <xf numFmtId="0" fontId="0" fillId="0" borderId="1" xfId="0" applyBorder="1">
      <alignment vertical="center"/>
    </xf>
    <xf numFmtId="0" fontId="0" fillId="0" borderId="1" xfId="0" applyBorder="1" applyAlignment="1">
      <alignment vertical="center" wrapText="1"/>
    </xf>
    <xf numFmtId="176" fontId="68" fillId="16" borderId="24"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73</xdr:row>
      <xdr:rowOff>0</xdr:rowOff>
    </xdr:from>
    <xdr:to>
      <xdr:col>8</xdr:col>
      <xdr:colOff>294120</xdr:colOff>
      <xdr:row>83</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58750"/>
          <a:ext cx="9247620" cy="1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2814</v>
      </c>
      <c r="B1" s="3060" t="s">
        <v>2904</v>
      </c>
    </row>
    <row r="2" spans="1:2" s="3065" customFormat="1" ht="15" thickTop="1">
      <c r="A2" s="3063" t="s">
        <v>2815</v>
      </c>
      <c r="B2" s="3064" t="str">
        <f>'预评函-封皮'!B37:I37</f>
        <v>预评估</v>
      </c>
    </row>
    <row r="3" spans="1:2" s="3068" customFormat="1">
      <c r="A3" s="3066" t="s">
        <v>2816</v>
      </c>
      <c r="B3" s="3067">
        <f>'预评函-封皮'!B40</f>
        <v>0</v>
      </c>
    </row>
    <row r="4" spans="1:2" s="3068" customFormat="1">
      <c r="A4" s="3066" t="s">
        <v>2817</v>
      </c>
      <c r="B4" s="3067" t="str">
        <f>'预评函-封皮'!B46</f>
        <v>（注册号：0)、（注册号：0)</v>
      </c>
    </row>
    <row r="5" spans="1:2" s="3062" customFormat="1" ht="15" thickBot="1">
      <c r="A5" s="3069" t="s">
        <v>2818</v>
      </c>
      <c r="B5" s="3070" t="str">
        <f>'预评函-封皮'!B49</f>
        <v>康正预评字2017-1-0639-P01DYGJ2号</v>
      </c>
    </row>
    <row r="6" spans="1:2" s="3065" customFormat="1" ht="15" thickTop="1">
      <c r="A6" s="3063" t="s">
        <v>2819</v>
      </c>
      <c r="B6" s="3064" t="str">
        <f>'预评函-1'!A4</f>
        <v>受贵公司委托，我公司对进行了预评估。</v>
      </c>
    </row>
    <row r="7" spans="1:2" s="3068" customFormat="1">
      <c r="A7" s="3066" t="s">
        <v>2859</v>
      </c>
      <c r="B7" s="3067" t="str">
        <f>'预评函-1'!A7</f>
        <v>估价对象为房地产，为所有。根据《国有土地使用证》[]，估价对象（分摊）出让国有建设用地使用权面积为52242.5平方米，建筑面积为20083.5平方米。</v>
      </c>
    </row>
    <row r="8" spans="1:2" s="3068" customFormat="1">
      <c r="A8" s="3066" t="s">
        <v>2860</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2861</v>
      </c>
      <c r="B9" s="3067" t="str">
        <f>'预评函-1'!A10</f>
        <v>估价对象为房地产,为开发建设的，该项目尚在开发建设中。根据《国有土地使用证》[]，估价对象（分摊）出让国有建设用地使用权面积为52242.5平方米，规划建筑面积为20083.5平方米。</v>
      </c>
    </row>
    <row r="10" spans="1:2" s="3068" customFormat="1">
      <c r="A10" s="3066" t="s">
        <v>2862</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2820</v>
      </c>
      <c r="B11" s="3067" t="str">
        <f>'预评函-1'!A13</f>
        <v>为估价委托人了解估价对象房地产市场价值提供参考依据。</v>
      </c>
    </row>
    <row r="12" spans="1:2" s="3068" customFormat="1">
      <c r="A12" s="3066" t="s">
        <v>2821</v>
      </c>
      <c r="B12" s="3067" t="str">
        <f>'预评函-1'!A15</f>
        <v>2017年7月5日（评估专业人员实地查勘之日）</v>
      </c>
    </row>
    <row r="13" spans="1:2" s="3068" customFormat="1">
      <c r="A13" s="3066" t="s">
        <v>2822</v>
      </c>
      <c r="B13" s="3067" t="str">
        <f>'预评函-1'!A18</f>
        <v>本次估价的“房地产价值”是指在正常市场情况下，在价值时点2017年7月5日，估价对象规划用途为，土地取得方式为出让，出让国有建设用地使用权剩余土地使用年限为，假定未设立法定优先受偿款下的房地产市场价值。</v>
      </c>
    </row>
    <row r="14" spans="1:2" s="3068" customFormat="1">
      <c r="A14" s="3066" t="s">
        <v>2823</v>
      </c>
      <c r="B14" s="30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2824</v>
      </c>
      <c r="B15" s="30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8" customFormat="1">
      <c r="A16" s="3066" t="s">
        <v>2825</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2826</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2827</v>
      </c>
      <c r="B18" s="3070" t="str">
        <f>'预评函-1'!A24</f>
        <v>本次评估采用的主估价方法为成本法和收益法。</v>
      </c>
    </row>
    <row r="19" spans="1:2" s="3065" customFormat="1" ht="15" thickTop="1">
      <c r="A19" s="3063" t="s">
        <v>2828</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2829</v>
      </c>
      <c r="B20" s="3067">
        <f ca="1">'预评函-2'!D5</f>
        <v>5173</v>
      </c>
    </row>
    <row r="21" spans="1:2" s="3068" customFormat="1">
      <c r="A21" s="3066" t="s">
        <v>2830</v>
      </c>
      <c r="B21" s="3067">
        <f ca="1">'预评函-2'!D7</f>
        <v>2576</v>
      </c>
    </row>
    <row r="22" spans="1:2" s="3068" customFormat="1">
      <c r="A22" s="3066" t="s">
        <v>2831</v>
      </c>
      <c r="B22" s="3067" t="str">
        <f ca="1">'预评函-2'!D6</f>
        <v>伍仟壹佰柒拾叁万元整</v>
      </c>
    </row>
    <row r="23" spans="1:2" s="3068" customFormat="1">
      <c r="A23" s="3066" t="s">
        <v>2892</v>
      </c>
      <c r="B23" s="3067" t="str">
        <f>'预评函-2'!B8</f>
        <v>2.估价师知悉的法定优先受偿款</v>
      </c>
    </row>
    <row r="24" spans="1:2" s="3068" customFormat="1">
      <c r="A24" s="3066" t="s">
        <v>2898</v>
      </c>
      <c r="B24" s="3067">
        <f>'预评函-2'!D8</f>
        <v>0</v>
      </c>
    </row>
    <row r="25" spans="1:2" s="3068" customFormat="1">
      <c r="A25" s="3066" t="s">
        <v>2832</v>
      </c>
      <c r="B25" s="3067" t="str">
        <f>'预评函-2'!D9</f>
        <v>零元整</v>
      </c>
    </row>
    <row r="26" spans="1:2" s="3068" customFormat="1">
      <c r="A26" s="3066" t="s">
        <v>2833</v>
      </c>
      <c r="B26" s="3067">
        <f>'预评函-2'!D10</f>
        <v>0</v>
      </c>
    </row>
    <row r="27" spans="1:2" s="3068" customFormat="1">
      <c r="A27" s="3066" t="s">
        <v>2834</v>
      </c>
      <c r="B27" s="3067">
        <f>'预评函-2'!D11</f>
        <v>0</v>
      </c>
    </row>
    <row r="28" spans="1:2" s="3068" customFormat="1">
      <c r="A28" s="3066" t="s">
        <v>2835</v>
      </c>
      <c r="B28" s="3067">
        <f>'预评函-2'!D12</f>
        <v>0</v>
      </c>
    </row>
    <row r="29" spans="1:2" s="3068" customFormat="1">
      <c r="A29" s="3066" t="s">
        <v>2896</v>
      </c>
      <c r="B29" s="3067" t="str">
        <f>'预评函-2'!B13</f>
        <v>3.房地产抵押价值</v>
      </c>
    </row>
    <row r="30" spans="1:2" s="3068" customFormat="1">
      <c r="A30" s="3066" t="s">
        <v>2897</v>
      </c>
      <c r="B30" s="3067">
        <f ca="1">'预评函-2'!D13</f>
        <v>5173</v>
      </c>
    </row>
    <row r="31" spans="1:2" s="3068" customFormat="1">
      <c r="A31" s="3066" t="s">
        <v>2870</v>
      </c>
      <c r="B31" s="3067">
        <f ca="1">'预评函-2'!D15</f>
        <v>2576</v>
      </c>
    </row>
    <row r="32" spans="1:2" s="3068" customFormat="1">
      <c r="A32" s="3066" t="s">
        <v>2836</v>
      </c>
      <c r="B32" s="3067" t="str">
        <f ca="1">'预评函-2'!D14</f>
        <v>伍仟壹佰柒拾叁万元整</v>
      </c>
    </row>
    <row r="33" spans="1:2" s="3068" customFormat="1">
      <c r="A33" s="3066" t="s">
        <v>2872</v>
      </c>
      <c r="B33" s="3067" t="str">
        <f>'预评函-2'!B16</f>
        <v>——</v>
      </c>
    </row>
    <row r="34" spans="1:2" s="3068" customFormat="1">
      <c r="A34" s="3066" t="s">
        <v>2899</v>
      </c>
      <c r="B34" s="3067" t="str">
        <f>'预评函-2'!D16</f>
        <v>——</v>
      </c>
    </row>
    <row r="35" spans="1:2" s="3068" customFormat="1">
      <c r="A35" s="3066" t="s">
        <v>2871</v>
      </c>
      <c r="B35" s="3067" t="str">
        <f>'预评函-2'!D18</f>
        <v>——</v>
      </c>
    </row>
    <row r="36" spans="1:2" s="3068" customFormat="1">
      <c r="A36" s="3066" t="s">
        <v>2837</v>
      </c>
      <c r="B36" s="3067" t="e">
        <f>'预评函-2'!D17</f>
        <v>#VALUE!</v>
      </c>
    </row>
    <row r="37" spans="1:2" s="3068" customFormat="1">
      <c r="A37" s="3066" t="s">
        <v>2873</v>
      </c>
      <c r="B37" s="3067" t="str">
        <f>'预评函-2'!B19</f>
        <v>——</v>
      </c>
    </row>
    <row r="38" spans="1:2" s="3068" customFormat="1">
      <c r="A38" s="3066" t="s">
        <v>2900</v>
      </c>
      <c r="B38" s="3067" t="str">
        <f>'预评函-2'!D19</f>
        <v>——</v>
      </c>
    </row>
    <row r="39" spans="1:2" s="3068" customFormat="1">
      <c r="A39" s="3066" t="s">
        <v>2838</v>
      </c>
      <c r="B39" s="3067" t="str">
        <f>'预评函-2'!D21</f>
        <v>——</v>
      </c>
    </row>
    <row r="40" spans="1:2" s="3068" customFormat="1">
      <c r="A40" s="3066" t="s">
        <v>2839</v>
      </c>
      <c r="B40" s="3067" t="e">
        <f>'预评函-2'!D20</f>
        <v>#VALUE!</v>
      </c>
    </row>
    <row r="41" spans="1:2" s="3068" customFormat="1">
      <c r="A41" s="3066" t="s">
        <v>2895</v>
      </c>
      <c r="B41" s="3067" t="str">
        <f>'预评函-3'!A4</f>
        <v>房地产</v>
      </c>
    </row>
    <row r="42" spans="1:2" s="3068" customFormat="1">
      <c r="A42" s="3066" t="s">
        <v>2893</v>
      </c>
      <c r="B42" s="3067" t="str">
        <f>'预评函-3'!B2</f>
        <v>建筑面积</v>
      </c>
    </row>
    <row r="43" spans="1:2" s="3068" customFormat="1">
      <c r="A43" s="3066" t="s">
        <v>2894</v>
      </c>
      <c r="B43" s="3067">
        <f>'预评函-3'!B4</f>
        <v>20083.5</v>
      </c>
    </row>
    <row r="44" spans="1:2" s="3068" customFormat="1">
      <c r="A44" s="3066" t="s">
        <v>2869</v>
      </c>
      <c r="B44" s="3067" t="str">
        <f>'预评函-3'!C2</f>
        <v>(分摊)土地面积</v>
      </c>
    </row>
    <row r="45" spans="1:2" s="3068" customFormat="1">
      <c r="A45" s="3066" t="s">
        <v>2840</v>
      </c>
      <c r="B45" s="3067">
        <f>'预评函-3'!C4</f>
        <v>52242.5</v>
      </c>
    </row>
    <row r="46" spans="1:2" s="3068" customFormat="1">
      <c r="A46" s="3066" t="s">
        <v>2867</v>
      </c>
      <c r="B46" s="3067" t="str">
        <f>'预评函-3'!D2</f>
        <v>出让国有建设用地使用权价值</v>
      </c>
    </row>
    <row r="47" spans="1:2" s="3068" customFormat="1">
      <c r="A47" s="3066" t="s">
        <v>2841</v>
      </c>
      <c r="B47" s="3067">
        <f ca="1">'预评函-3'!D4</f>
        <v>921</v>
      </c>
    </row>
    <row r="48" spans="1:2" s="3068" customFormat="1">
      <c r="A48" s="3066" t="s">
        <v>2842</v>
      </c>
      <c r="B48" s="3067">
        <f ca="1">'预评函-3'!E4</f>
        <v>459</v>
      </c>
    </row>
    <row r="49" spans="1:2" s="3068" customFormat="1">
      <c r="A49" s="3066" t="s">
        <v>2843</v>
      </c>
      <c r="B49" s="3067" t="str">
        <f ca="1">'预评函-3'!D5</f>
        <v>玖佰贰拾壹万元整</v>
      </c>
    </row>
    <row r="50" spans="1:2" s="3068" customFormat="1">
      <c r="A50" s="3066" t="s">
        <v>2868</v>
      </c>
      <c r="B50" s="3067" t="str">
        <f>'预评函-3'!F2</f>
        <v>在建建筑物价值</v>
      </c>
    </row>
    <row r="51" spans="1:2" s="3068" customFormat="1">
      <c r="A51" s="3066" t="s">
        <v>2844</v>
      </c>
      <c r="B51" s="3067">
        <f ca="1">'预评函-3'!F4</f>
        <v>4252</v>
      </c>
    </row>
    <row r="52" spans="1:2" s="3068" customFormat="1">
      <c r="A52" s="3066" t="s">
        <v>2845</v>
      </c>
      <c r="B52" s="3067">
        <f ca="1">'预评函-3'!G4</f>
        <v>2117</v>
      </c>
    </row>
    <row r="53" spans="1:2" s="3068" customFormat="1">
      <c r="A53" s="3066" t="s">
        <v>2874</v>
      </c>
      <c r="B53" s="3067" t="str">
        <f ca="1">'预评函-3'!F5</f>
        <v>肆仟贰佰伍拾贰万元整</v>
      </c>
    </row>
    <row r="54" spans="1:2" s="3068" customFormat="1">
      <c r="A54" s="3066" t="s">
        <v>2902</v>
      </c>
      <c r="B54" s="3067" t="str">
        <f>'预评函-3'!A8</f>
        <v>房地产抵押价值</v>
      </c>
    </row>
    <row r="55" spans="1:2" s="3068" customFormat="1">
      <c r="A55" s="3066" t="s">
        <v>2875</v>
      </c>
      <c r="B55" s="3067" t="str">
        <f>'预评函-3'!A10</f>
        <v/>
      </c>
    </row>
    <row r="56" spans="1:2" s="3068" customFormat="1">
      <c r="A56" s="3066" t="s">
        <v>2876</v>
      </c>
      <c r="B56" s="3067" t="str">
        <f>'预评函-3'!A12</f>
        <v/>
      </c>
    </row>
    <row r="57" spans="1:2" s="3062" customFormat="1" ht="15" thickBot="1">
      <c r="A57" s="3069" t="s">
        <v>2903</v>
      </c>
      <c r="B57" s="3070" t="str">
        <f>'预评函-3'!A6</f>
        <v>估价师知悉的法定优先受偿款</v>
      </c>
    </row>
    <row r="58" spans="1:2" s="3065" customFormat="1" ht="15" thickTop="1">
      <c r="A58" s="3063" t="s">
        <v>2846</v>
      </c>
      <c r="B58" s="3064" t="str">
        <f>'预评函-4'!A12</f>
        <v/>
      </c>
    </row>
    <row r="59" spans="1:2" s="3068" customFormat="1">
      <c r="A59" s="3066" t="s">
        <v>2847</v>
      </c>
      <c r="B59" s="3067" t="str">
        <f>'预评函-4'!A13</f>
        <v/>
      </c>
    </row>
    <row r="60" spans="1:2" s="3068" customFormat="1">
      <c r="A60" s="3066" t="s">
        <v>2848</v>
      </c>
      <c r="B60" s="3067" t="str">
        <f>'预评函-4'!A14</f>
        <v/>
      </c>
    </row>
    <row r="61" spans="1:2" s="3068" customFormat="1">
      <c r="A61" s="3066" t="s">
        <v>2849</v>
      </c>
      <c r="B61" s="3067" t="str">
        <f>'预评函-4'!A15</f>
        <v/>
      </c>
    </row>
    <row r="62" spans="1:2" s="3068" customFormat="1">
      <c r="A62" s="3066" t="s">
        <v>2850</v>
      </c>
      <c r="B62" s="3067" t="str">
        <f>'预评函-4'!A16</f>
        <v>（2）根据《工程款支付情况说明》，截至价值时点，估价对象不存在应付未付工程款项。（只要没有施工方盖章的，均“设定”进行表述）</v>
      </c>
    </row>
    <row r="63" spans="1:2" s="3068" customFormat="1">
      <c r="A63" s="3066" t="s">
        <v>2851</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2863</v>
      </c>
      <c r="B64" s="3067" t="str">
        <f>'预评函-4'!A18</f>
        <v/>
      </c>
    </row>
    <row r="65" spans="1:2" s="3068" customFormat="1">
      <c r="A65" s="3066" t="s">
        <v>2852</v>
      </c>
      <c r="B65" s="3067"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2853</v>
      </c>
      <c r="B66" s="3067" t="str">
        <f>'预评函-4'!A20</f>
        <v/>
      </c>
    </row>
    <row r="67" spans="1:2" s="3068" customFormat="1">
      <c r="A67" s="3066" t="s">
        <v>2864</v>
      </c>
      <c r="B67" s="3067" t="str">
        <f>'预评函-4'!A21</f>
        <v/>
      </c>
    </row>
    <row r="68" spans="1:2" s="3068" customFormat="1">
      <c r="A68" s="3066" t="s">
        <v>2865</v>
      </c>
      <c r="B68" s="3067" t="str">
        <f>'预评函-4'!A22</f>
        <v>8.其他需特殊说明事项：无（注意调整序号）</v>
      </c>
    </row>
    <row r="69" spans="1:2" s="3062" customFormat="1" ht="15" thickBot="1">
      <c r="A69" s="3069" t="s">
        <v>2854</v>
      </c>
      <c r="B69" s="3071">
        <f>'预评函-4'!C31</f>
        <v>42551</v>
      </c>
    </row>
    <row r="70" spans="1:2" ht="15" thickTop="1">
      <c r="A70" s="3072" t="s">
        <v>2855</v>
      </c>
      <c r="B70" s="3073">
        <f>'预评函-4'!A4</f>
        <v>0</v>
      </c>
    </row>
    <row r="71" spans="1:2">
      <c r="A71" s="3066" t="s">
        <v>2856</v>
      </c>
      <c r="B71" s="3067">
        <f>'预评函-4'!B4</f>
        <v>0</v>
      </c>
    </row>
    <row r="72" spans="1:2">
      <c r="A72" s="3066" t="s">
        <v>2857</v>
      </c>
      <c r="B72" s="3075">
        <f>'预评函-4'!A5</f>
        <v>0</v>
      </c>
    </row>
    <row r="73" spans="1:2" s="3062" customFormat="1" ht="15" thickBot="1">
      <c r="A73" s="3069" t="s">
        <v>2858</v>
      </c>
      <c r="B73" s="3070">
        <f>'预评函-4'!B5</f>
        <v>0</v>
      </c>
    </row>
    <row r="74" spans="1:2" ht="15" thickTop="1">
      <c r="A74" s="3059" t="s">
        <v>2920</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2658</v>
      </c>
      <c r="R1" s="1487" t="s">
        <v>2648</v>
      </c>
      <c r="S1" s="290" t="s">
        <v>270</v>
      </c>
      <c r="T1" s="291" t="s">
        <v>271</v>
      </c>
      <c r="U1" s="290" t="s">
        <v>272</v>
      </c>
      <c r="V1" s="290" t="s">
        <v>273</v>
      </c>
      <c r="W1" s="1487" t="s">
        <v>1858</v>
      </c>
    </row>
    <row r="2" spans="1:23">
      <c r="A2" s="2803" t="s">
        <v>114</v>
      </c>
      <c r="B2" s="2803"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2652</v>
      </c>
      <c r="S2" s="292" t="s">
        <v>232</v>
      </c>
      <c r="T2" s="292" t="s">
        <v>233</v>
      </c>
      <c r="U2" s="292" t="s">
        <v>232</v>
      </c>
      <c r="V2" s="292" t="s">
        <v>234</v>
      </c>
      <c r="W2" s="292" t="s">
        <v>232</v>
      </c>
    </row>
    <row r="3" spans="1:23">
      <c r="A3" s="2803" t="s">
        <v>580</v>
      </c>
      <c r="B3" s="2804" t="s">
        <v>2694</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2650</v>
      </c>
      <c r="S3" s="292" t="s">
        <v>240</v>
      </c>
      <c r="T3" s="292" t="s">
        <v>241</v>
      </c>
      <c r="U3" s="292" t="s">
        <v>240</v>
      </c>
      <c r="V3" s="292" t="s">
        <v>242</v>
      </c>
      <c r="W3" s="292" t="s">
        <v>240</v>
      </c>
    </row>
    <row r="4" spans="1:23">
      <c r="A4" s="2803" t="s">
        <v>582</v>
      </c>
      <c r="B4" s="2803" t="s">
        <v>583</v>
      </c>
      <c r="C4" s="1771" t="s">
        <v>1886</v>
      </c>
      <c r="D4" s="292" t="s">
        <v>2057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2653</v>
      </c>
      <c r="S4" s="292" t="s">
        <v>243</v>
      </c>
      <c r="T4" s="292" t="s">
        <v>244</v>
      </c>
      <c r="U4" s="292" t="s">
        <v>243</v>
      </c>
      <c r="W4" s="292" t="s">
        <v>243</v>
      </c>
    </row>
    <row r="5" spans="1:23">
      <c r="A5" s="2803" t="s">
        <v>584</v>
      </c>
      <c r="B5" s="2803" t="s">
        <v>585</v>
      </c>
      <c r="C5" s="1771" t="s">
        <v>1887</v>
      </c>
      <c r="F5" s="292" t="s">
        <v>245</v>
      </c>
      <c r="H5" s="292" t="s">
        <v>246</v>
      </c>
      <c r="I5" s="292" t="s">
        <v>247</v>
      </c>
      <c r="K5" s="292" t="s">
        <v>248</v>
      </c>
      <c r="L5" s="292" t="s">
        <v>248</v>
      </c>
      <c r="M5" s="292" t="s">
        <v>248</v>
      </c>
      <c r="N5" s="292" t="s">
        <v>248</v>
      </c>
      <c r="O5" s="292" t="s">
        <v>248</v>
      </c>
      <c r="P5" s="292" t="s">
        <v>248</v>
      </c>
      <c r="Q5" s="292" t="s">
        <v>248</v>
      </c>
      <c r="R5" s="2766" t="s">
        <v>2654</v>
      </c>
      <c r="S5" s="292" t="s">
        <v>248</v>
      </c>
      <c r="T5" s="292" t="s">
        <v>249</v>
      </c>
      <c r="U5" s="292" t="s">
        <v>248</v>
      </c>
      <c r="W5" s="292" t="s">
        <v>248</v>
      </c>
    </row>
    <row r="6" spans="1:23">
      <c r="A6" s="2803" t="s">
        <v>586</v>
      </c>
      <c r="B6" s="2804" t="s">
        <v>2695</v>
      </c>
      <c r="C6" s="1773" t="s">
        <v>163</v>
      </c>
      <c r="F6" s="292" t="s">
        <v>250</v>
      </c>
      <c r="H6" s="292" t="s">
        <v>251</v>
      </c>
      <c r="I6" s="292" t="s">
        <v>252</v>
      </c>
      <c r="K6" s="292" t="s">
        <v>253</v>
      </c>
      <c r="L6" s="292" t="s">
        <v>253</v>
      </c>
      <c r="M6" s="292" t="s">
        <v>253</v>
      </c>
      <c r="N6" s="292" t="s">
        <v>253</v>
      </c>
      <c r="O6" s="292" t="s">
        <v>253</v>
      </c>
      <c r="P6" s="292" t="s">
        <v>253</v>
      </c>
      <c r="Q6" s="292" t="s">
        <v>253</v>
      </c>
      <c r="R6" s="2766" t="s">
        <v>2655</v>
      </c>
      <c r="S6" s="292" t="s">
        <v>253</v>
      </c>
      <c r="T6" s="292"/>
      <c r="U6" s="292" t="s">
        <v>253</v>
      </c>
      <c r="W6" s="292" t="s">
        <v>253</v>
      </c>
    </row>
    <row r="7" spans="1:23">
      <c r="A7" s="2803" t="s">
        <v>588</v>
      </c>
      <c r="B7" s="2804" t="s">
        <v>2696</v>
      </c>
      <c r="C7" s="1771" t="s">
        <v>164</v>
      </c>
      <c r="F7" s="292" t="s">
        <v>254</v>
      </c>
      <c r="H7" s="292" t="s">
        <v>255</v>
      </c>
      <c r="I7" s="292" t="s">
        <v>256</v>
      </c>
    </row>
    <row r="8" spans="1:23">
      <c r="A8" s="2803" t="s">
        <v>590</v>
      </c>
      <c r="B8" s="2803" t="s">
        <v>587</v>
      </c>
      <c r="C8" s="1771" t="s">
        <v>1888</v>
      </c>
      <c r="F8" s="292" t="s">
        <v>283</v>
      </c>
      <c r="H8" s="292"/>
      <c r="I8" s="292" t="s">
        <v>284</v>
      </c>
    </row>
    <row r="9" spans="1:23">
      <c r="A9" s="2803" t="s">
        <v>592</v>
      </c>
      <c r="B9" s="2803" t="s">
        <v>589</v>
      </c>
      <c r="C9" s="1771" t="s">
        <v>1889</v>
      </c>
      <c r="F9" s="292" t="s">
        <v>285</v>
      </c>
      <c r="H9" s="292"/>
    </row>
    <row r="10" spans="1:23">
      <c r="A10" s="2803" t="s">
        <v>594</v>
      </c>
      <c r="B10" s="2803" t="s">
        <v>591</v>
      </c>
      <c r="C10" s="1771" t="s">
        <v>1890</v>
      </c>
      <c r="F10" s="292" t="s">
        <v>51</v>
      </c>
    </row>
    <row r="11" spans="1:23">
      <c r="A11" s="2803" t="s">
        <v>596</v>
      </c>
      <c r="B11" s="2803" t="s">
        <v>593</v>
      </c>
      <c r="C11" s="1771" t="s">
        <v>1891</v>
      </c>
    </row>
    <row r="12" spans="1:23">
      <c r="A12" s="2803" t="s">
        <v>598</v>
      </c>
      <c r="B12" s="2803" t="s">
        <v>595</v>
      </c>
      <c r="C12" s="1771" t="s">
        <v>1892</v>
      </c>
    </row>
    <row r="13" spans="1:23">
      <c r="A13" s="2803" t="s">
        <v>600</v>
      </c>
      <c r="B13" s="2803" t="s">
        <v>597</v>
      </c>
      <c r="C13" s="1771" t="s">
        <v>1893</v>
      </c>
    </row>
    <row r="14" spans="1:23">
      <c r="A14" s="2803" t="s">
        <v>602</v>
      </c>
      <c r="B14" s="2803" t="s">
        <v>599</v>
      </c>
      <c r="C14" s="292" t="s">
        <v>51</v>
      </c>
    </row>
    <row r="15" spans="1:23">
      <c r="A15" s="2803" t="s">
        <v>603</v>
      </c>
      <c r="B15" s="2803" t="s">
        <v>601</v>
      </c>
      <c r="C15" s="1774"/>
    </row>
    <row r="16" spans="1:23">
      <c r="A16" s="2803" t="s">
        <v>604</v>
      </c>
      <c r="B16" s="2803" t="s">
        <v>1874</v>
      </c>
      <c r="C16" s="1774"/>
    </row>
    <row r="17" spans="1:3">
      <c r="A17" s="2803" t="s">
        <v>605</v>
      </c>
      <c r="B17" s="2803" t="s">
        <v>1875</v>
      </c>
      <c r="C17" s="1774"/>
    </row>
    <row r="18" spans="1:3">
      <c r="A18" s="2803" t="s">
        <v>606</v>
      </c>
      <c r="B18" s="2803" t="s">
        <v>1875</v>
      </c>
      <c r="C18" s="1774"/>
    </row>
    <row r="19" spans="1:3">
      <c r="A19" s="2803" t="s">
        <v>607</v>
      </c>
      <c r="B19" s="2803" t="s">
        <v>1875</v>
      </c>
      <c r="C19" s="1774"/>
    </row>
    <row r="20" spans="1:3">
      <c r="A20" s="2803" t="s">
        <v>608</v>
      </c>
      <c r="B20" s="2803" t="s">
        <v>1875</v>
      </c>
      <c r="C20" s="1774"/>
    </row>
    <row r="21" spans="1:3">
      <c r="A21" s="2803" t="s">
        <v>609</v>
      </c>
      <c r="B21" s="2803" t="s">
        <v>1875</v>
      </c>
      <c r="C21" s="1774"/>
    </row>
    <row r="22" spans="1:3">
      <c r="A22" s="2803" t="s">
        <v>610</v>
      </c>
      <c r="B22" s="2803" t="s">
        <v>1875</v>
      </c>
      <c r="C22" s="1774"/>
    </row>
    <row r="23" spans="1:3">
      <c r="A23" s="2803" t="s">
        <v>611</v>
      </c>
      <c r="B23" s="2803" t="s">
        <v>1875</v>
      </c>
      <c r="C23" s="1774"/>
    </row>
    <row r="24" spans="1:3">
      <c r="A24" s="2803" t="s">
        <v>612</v>
      </c>
      <c r="B24" s="2803" t="s">
        <v>1875</v>
      </c>
      <c r="C24" s="1774"/>
    </row>
    <row r="25" spans="1:3">
      <c r="A25" s="2803" t="s">
        <v>613</v>
      </c>
      <c r="B25" s="2803" t="s">
        <v>1875</v>
      </c>
      <c r="C25" s="1774"/>
    </row>
    <row r="26" spans="1:3">
      <c r="A26" s="2803" t="s">
        <v>614</v>
      </c>
      <c r="B26" s="2803" t="s">
        <v>1875</v>
      </c>
      <c r="C26" s="1774"/>
    </row>
    <row r="27" spans="1:3">
      <c r="A27" s="2803" t="s">
        <v>1875</v>
      </c>
      <c r="B27" s="2803" t="s">
        <v>1875</v>
      </c>
      <c r="C27" s="1774"/>
    </row>
    <row r="28" spans="1:3">
      <c r="A28" s="2803" t="s">
        <v>1875</v>
      </c>
      <c r="B28" s="2803" t="s">
        <v>1875</v>
      </c>
      <c r="C28" s="1774"/>
    </row>
    <row r="29" spans="1:3">
      <c r="A29" s="2803" t="s">
        <v>1875</v>
      </c>
      <c r="B29" s="2803" t="s">
        <v>1875</v>
      </c>
      <c r="C29" s="1774"/>
    </row>
    <row r="30" spans="1:3">
      <c r="A30" s="2803" t="s">
        <v>1875</v>
      </c>
      <c r="B30" s="2803" t="s">
        <v>1875</v>
      </c>
      <c r="C30" s="1774"/>
    </row>
    <row r="31" spans="1:3">
      <c r="A31" s="2803" t="s">
        <v>1875</v>
      </c>
      <c r="B31" s="2803" t="s">
        <v>1875</v>
      </c>
      <c r="C31" s="1774"/>
    </row>
    <row r="32" spans="1:3">
      <c r="A32" s="2803" t="s">
        <v>1875</v>
      </c>
      <c r="B32" s="2803" t="s">
        <v>1875</v>
      </c>
      <c r="C32" s="1774"/>
    </row>
    <row r="33" spans="1:3">
      <c r="A33" s="2803" t="s">
        <v>1875</v>
      </c>
      <c r="B33" s="2803" t="s">
        <v>1875</v>
      </c>
      <c r="C33" s="1774"/>
    </row>
    <row r="34" spans="1:3">
      <c r="A34" s="2803" t="s">
        <v>1875</v>
      </c>
      <c r="B34" s="2803" t="s">
        <v>1875</v>
      </c>
      <c r="C34" s="1774"/>
    </row>
    <row r="35" spans="1:3">
      <c r="A35" s="2803" t="s">
        <v>1875</v>
      </c>
      <c r="B35" s="2803" t="s">
        <v>1875</v>
      </c>
      <c r="C35" s="1774"/>
    </row>
    <row r="36" spans="1:3">
      <c r="A36" s="2803" t="s">
        <v>1875</v>
      </c>
      <c r="B36" s="2803" t="s">
        <v>1875</v>
      </c>
      <c r="C36" s="1774"/>
    </row>
    <row r="37" spans="1:3">
      <c r="A37" s="2803" t="s">
        <v>1875</v>
      </c>
      <c r="B37" s="2803" t="s">
        <v>1875</v>
      </c>
      <c r="C37" s="1774"/>
    </row>
    <row r="38" spans="1:3">
      <c r="A38" s="2803" t="s">
        <v>1875</v>
      </c>
      <c r="B38" s="2803" t="s">
        <v>1875</v>
      </c>
      <c r="C38" s="1774"/>
    </row>
    <row r="39" spans="1:3">
      <c r="A39" s="2803" t="s">
        <v>1875</v>
      </c>
      <c r="B39" s="2803" t="s">
        <v>1875</v>
      </c>
      <c r="C39" s="1774"/>
    </row>
    <row r="40" spans="1:3">
      <c r="A40" s="2803" t="s">
        <v>1875</v>
      </c>
      <c r="B40" s="2803" t="s">
        <v>1875</v>
      </c>
      <c r="C40" s="1774"/>
    </row>
    <row r="41" spans="1:3">
      <c r="A41" s="2803" t="s">
        <v>1875</v>
      </c>
      <c r="B41" s="2803" t="s">
        <v>1875</v>
      </c>
      <c r="C41" s="1774"/>
    </row>
    <row r="42" spans="1:3">
      <c r="A42" s="2803" t="s">
        <v>1875</v>
      </c>
      <c r="B42" s="2803" t="s">
        <v>1875</v>
      </c>
      <c r="C42" s="1774"/>
    </row>
    <row r="43" spans="1:3">
      <c r="A43" s="2803" t="s">
        <v>1875</v>
      </c>
      <c r="B43" s="2803" t="s">
        <v>1875</v>
      </c>
      <c r="C43" s="1774"/>
    </row>
    <row r="44" spans="1:3">
      <c r="A44" s="2803" t="s">
        <v>1875</v>
      </c>
      <c r="B44" s="2803" t="s">
        <v>1875</v>
      </c>
      <c r="C44" s="1774"/>
    </row>
    <row r="45" spans="1:3">
      <c r="A45" s="2803" t="s">
        <v>1875</v>
      </c>
      <c r="B45" s="2803" t="s">
        <v>1875</v>
      </c>
      <c r="C45" s="1774"/>
    </row>
    <row r="46" spans="1:3">
      <c r="A46" s="2803" t="s">
        <v>1875</v>
      </c>
      <c r="B46" s="2803" t="s">
        <v>1875</v>
      </c>
      <c r="C46" s="1774"/>
    </row>
    <row r="47" spans="1:3">
      <c r="A47" s="2803" t="s">
        <v>1875</v>
      </c>
      <c r="B47" s="2803" t="s">
        <v>1875</v>
      </c>
      <c r="C47" s="1774"/>
    </row>
    <row r="48" spans="1:3">
      <c r="A48" s="2803" t="s">
        <v>1875</v>
      </c>
      <c r="B48" s="2803" t="s">
        <v>1875</v>
      </c>
      <c r="C48" s="1774"/>
    </row>
    <row r="49" spans="1:4">
      <c r="A49" s="2803" t="s">
        <v>1875</v>
      </c>
      <c r="B49" s="2803" t="s">
        <v>1875</v>
      </c>
      <c r="C49" s="1774"/>
    </row>
    <row r="50" spans="1:4">
      <c r="A50" s="2803" t="s">
        <v>1875</v>
      </c>
      <c r="B50" s="2803" t="s">
        <v>1875</v>
      </c>
      <c r="C50" s="1774"/>
    </row>
    <row r="51" spans="1:4">
      <c r="A51" s="1954" t="s">
        <v>2021</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97" t="s">
        <v>2883</v>
      </c>
    </row>
    <row r="52" spans="1:4">
      <c r="A52" s="1954" t="s">
        <v>2025</v>
      </c>
      <c r="B52" s="1954" t="s">
        <v>2026</v>
      </c>
      <c r="C52" s="1162" t="s">
        <v>2027</v>
      </c>
      <c r="D52" s="1162" t="s">
        <v>2028</v>
      </c>
    </row>
    <row r="53" spans="1:4">
      <c r="A53" s="3381" t="s">
        <v>2029</v>
      </c>
      <c r="B53" s="2097" t="s">
        <v>2030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1"/>
      <c r="B54" s="2097" t="s">
        <v>2031</v>
      </c>
      <c r="C54" s="1162" t="s">
        <v>2880</v>
      </c>
    </row>
    <row r="55" spans="1:4">
      <c r="A55" s="3381"/>
      <c r="B55" s="2097" t="s">
        <v>2032</v>
      </c>
      <c r="C55" s="1162" t="s">
        <v>2881</v>
      </c>
    </row>
    <row r="56" spans="1:4">
      <c r="A56" s="3381"/>
      <c r="B56" s="2097" t="s">
        <v>2033</v>
      </c>
      <c r="C56" s="1162" t="s">
        <v>2891</v>
      </c>
    </row>
    <row r="57" spans="1:4">
      <c r="A57" s="3381"/>
      <c r="B57" s="2097" t="s">
        <v>2034</v>
      </c>
      <c r="C57" s="1162" t="s">
        <v>2882</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0" sqref="I20"/>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2138</v>
      </c>
      <c r="B1" s="3382" t="str">
        <f>IF(B10="北京市","北京市",C10)&amp;F10&amp;IF(结果表!G1="在建","出让国有建设用地使用权及在建建筑物",IF(结果表!G1="土地","出让国有建设用地使用权",))&amp;B9&amp;"预评估"</f>
        <v>预评估</v>
      </c>
      <c r="C1" s="3383"/>
      <c r="D1" s="3383"/>
      <c r="E1" s="3383"/>
      <c r="F1" s="3383"/>
      <c r="G1" s="3383"/>
      <c r="H1" s="3383"/>
      <c r="I1" s="3384"/>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
      </c>
    </row>
    <row r="2" spans="1:19" ht="18" customHeight="1">
      <c r="A2" s="1998" t="s">
        <v>2139</v>
      </c>
      <c r="B2" s="1945" t="s">
        <v>3163</v>
      </c>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房地产</v>
      </c>
    </row>
    <row r="3" spans="1:19" ht="18" customHeight="1">
      <c r="A3" s="1943" t="s">
        <v>2014</v>
      </c>
      <c r="B3" s="3239">
        <v>42921</v>
      </c>
      <c r="C3" s="1926" t="s">
        <v>2015</v>
      </c>
      <c r="D3" s="3239">
        <f>B3</f>
        <v>42921</v>
      </c>
      <c r="E3" s="1998"/>
      <c r="F3" s="1998"/>
      <c r="G3" s="1998"/>
      <c r="H3" s="1998"/>
      <c r="I3" s="1998"/>
      <c r="J3" s="1998"/>
      <c r="K3" s="2104"/>
      <c r="L3" s="1999"/>
      <c r="M3" s="1999"/>
      <c r="N3" s="1197"/>
      <c r="O3" s="11"/>
      <c r="P3" s="1197"/>
      <c r="Q3" s="1197"/>
      <c r="R3" s="1197"/>
      <c r="S3" s="1196"/>
    </row>
    <row r="4" spans="1:19" ht="18" customHeight="1" thickBot="1">
      <c r="A4" s="1927" t="s">
        <v>2016</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2103</v>
      </c>
      <c r="B5" s="3294"/>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2886</v>
      </c>
      <c r="B7" s="3295"/>
      <c r="C7" s="2044"/>
      <c r="D7" s="2005"/>
      <c r="E7" s="2001"/>
      <c r="F7" s="2003"/>
      <c r="G7" s="2003"/>
      <c r="H7" s="2003"/>
      <c r="I7" s="2003"/>
      <c r="J7" s="2003"/>
      <c r="K7" s="2106"/>
      <c r="L7" s="1999"/>
      <c r="M7" s="1999"/>
      <c r="N7" s="1197"/>
      <c r="O7" s="11"/>
      <c r="P7" s="1197"/>
      <c r="Q7" s="1197"/>
      <c r="R7" s="1197"/>
    </row>
    <row r="8" spans="1:19" ht="18" customHeight="1">
      <c r="A8" s="1932" t="s">
        <v>1962</v>
      </c>
      <c r="B8" s="2037"/>
      <c r="C8" s="2006"/>
      <c r="D8" s="3385" t="s">
        <v>2024</v>
      </c>
      <c r="E8" s="2038"/>
      <c r="F8" s="2039"/>
      <c r="G8" s="1998"/>
      <c r="H8" s="1998"/>
      <c r="I8" s="1998"/>
      <c r="J8" s="2003"/>
      <c r="K8" s="2105"/>
      <c r="L8" s="1999"/>
      <c r="M8" s="1999"/>
      <c r="N8" s="1197"/>
      <c r="O8" s="11"/>
      <c r="P8" s="1197"/>
      <c r="Q8" s="1197"/>
      <c r="R8" s="1197"/>
    </row>
    <row r="9" spans="1:19" ht="18" customHeight="1" thickBot="1">
      <c r="A9" s="1957" t="s">
        <v>1963</v>
      </c>
      <c r="B9" s="1958"/>
      <c r="C9" s="2007"/>
      <c r="D9" s="3386"/>
      <c r="E9" s="1958"/>
      <c r="F9" s="2895"/>
      <c r="G9" s="2002"/>
      <c r="H9" s="2002"/>
      <c r="I9" s="2002"/>
      <c r="J9" s="2003"/>
      <c r="K9" s="2106"/>
      <c r="L9" s="1999"/>
      <c r="M9" s="1999"/>
      <c r="N9" s="1197"/>
      <c r="O9" s="11"/>
      <c r="P9" s="1197"/>
      <c r="Q9" s="1197"/>
      <c r="R9" s="1197"/>
    </row>
    <row r="10" spans="1:19" ht="18" customHeight="1" thickTop="1">
      <c r="A10" s="2012" t="s">
        <v>2075</v>
      </c>
      <c r="B10" s="2058"/>
      <c r="C10" s="2040"/>
      <c r="D10" s="2004"/>
      <c r="E10" s="1942" t="s">
        <v>1964</v>
      </c>
      <c r="F10" s="1955"/>
      <c r="G10" s="2893"/>
      <c r="H10" s="2894"/>
      <c r="I10" s="2004"/>
      <c r="J10" s="2003"/>
      <c r="K10" s="2106"/>
      <c r="L10" s="1999"/>
      <c r="M10" s="1999"/>
      <c r="N10" s="1197"/>
      <c r="O10" s="11"/>
      <c r="P10" s="1197"/>
      <c r="Q10" s="1197"/>
      <c r="R10" s="1197"/>
    </row>
    <row r="11" spans="1:19" ht="18" customHeight="1">
      <c r="A11" s="1961" t="s">
        <v>2076</v>
      </c>
      <c r="B11" s="2057"/>
      <c r="C11" s="2041"/>
      <c r="D11" s="2008"/>
      <c r="E11" s="2003"/>
      <c r="F11" s="2003"/>
      <c r="G11" s="2003"/>
      <c r="H11" s="2003"/>
      <c r="I11" s="2003"/>
      <c r="J11" s="2003"/>
      <c r="K11" s="2106"/>
      <c r="L11" s="1999"/>
      <c r="M11" s="1999"/>
      <c r="N11" s="1197"/>
      <c r="O11" s="11"/>
      <c r="P11" s="1197"/>
      <c r="Q11" s="1197"/>
      <c r="R11" s="1197"/>
    </row>
    <row r="12" spans="1:19" ht="18" customHeight="1">
      <c r="A12" s="2056" t="s">
        <v>2102</v>
      </c>
      <c r="B12" s="2057" t="s">
        <v>2035</v>
      </c>
      <c r="C12" s="2015" t="s">
        <v>2106</v>
      </c>
      <c r="D12" s="2027" t="s">
        <v>1956</v>
      </c>
      <c r="E12" s="2027" t="s">
        <v>2721</v>
      </c>
      <c r="F12" s="2027" t="s">
        <v>2722</v>
      </c>
      <c r="G12" s="2027" t="s">
        <v>2723</v>
      </c>
      <c r="H12" s="2027" t="s">
        <v>2724</v>
      </c>
      <c r="I12" s="2027" t="s">
        <v>2725</v>
      </c>
      <c r="J12" s="2003"/>
      <c r="K12" s="2106"/>
      <c r="L12" s="1999"/>
      <c r="M12" s="1999"/>
      <c r="N12" s="1197"/>
      <c r="O12" s="11"/>
      <c r="P12" s="1197"/>
      <c r="Q12" s="1197"/>
      <c r="R12" s="1197"/>
    </row>
    <row r="13" spans="1:19" ht="18" customHeight="1">
      <c r="A13" s="2011"/>
      <c r="B13" s="2086"/>
      <c r="C13" s="2087" t="s">
        <v>2105</v>
      </c>
      <c r="D13" s="3238"/>
      <c r="E13" s="3238"/>
      <c r="F13" s="3238"/>
      <c r="G13" s="3238"/>
      <c r="H13" s="3238"/>
      <c r="I13" s="2052">
        <v>56327</v>
      </c>
      <c r="J13" s="2003"/>
      <c r="K13" s="2106"/>
      <c r="L13" s="1999"/>
      <c r="M13" s="1999"/>
      <c r="N13" s="1197"/>
      <c r="O13" s="11"/>
      <c r="P13" s="1197"/>
      <c r="Q13" s="1197"/>
      <c r="R13" s="1197"/>
    </row>
    <row r="14" spans="1:19" ht="18" customHeight="1">
      <c r="A14" s="2011"/>
      <c r="B14" s="2086"/>
      <c r="C14" s="2087" t="s">
        <v>2107</v>
      </c>
      <c r="D14" s="2055"/>
      <c r="E14" s="2055"/>
      <c r="F14" s="2055"/>
      <c r="G14" s="2055"/>
      <c r="H14" s="2055"/>
      <c r="I14" s="2055">
        <v>50</v>
      </c>
      <c r="J14" s="2003"/>
      <c r="K14" s="2107"/>
      <c r="L14" s="1999"/>
      <c r="M14" s="1999"/>
      <c r="N14" s="1197"/>
      <c r="O14" s="11"/>
      <c r="P14" s="1197"/>
      <c r="Q14" s="1197"/>
      <c r="R14" s="1197"/>
    </row>
    <row r="15" spans="1:19" ht="18" customHeight="1">
      <c r="A15" s="2012"/>
      <c r="B15" s="2088"/>
      <c r="C15" s="2087" t="s">
        <v>2108</v>
      </c>
      <c r="D15" s="2054" t="str">
        <f>IF(B12="出让",IF(D13="","",ROUNDDOWN(MIN((D13-$D$3)/365,D14),2)),D14)</f>
        <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f>IF(B12="出让",IF(I13="","",ROUNDDOWN(MIN((I13-$D$3)/365,I14),2)),I14)</f>
        <v>36.72</v>
      </c>
      <c r="J15" s="2003"/>
      <c r="K15" s="2108"/>
      <c r="L15" s="1231"/>
      <c r="M15" s="1231"/>
      <c r="N15" s="2023"/>
      <c r="O15" s="1231"/>
      <c r="P15" s="2023"/>
      <c r="Q15" s="1197"/>
      <c r="R15" s="1197"/>
    </row>
    <row r="16" spans="1:19" ht="30.75" customHeight="1">
      <c r="A16" s="1942" t="s">
        <v>2109</v>
      </c>
      <c r="B16" s="3392"/>
      <c r="C16" s="3393"/>
      <c r="D16" s="3394"/>
      <c r="E16" s="1959" t="s">
        <v>2036</v>
      </c>
      <c r="F16" s="3395"/>
      <c r="G16" s="3396"/>
      <c r="H16" s="3396"/>
      <c r="I16" s="3397"/>
      <c r="J16" s="1197"/>
      <c r="K16" s="2108"/>
      <c r="L16" s="1231"/>
      <c r="M16" s="1231"/>
      <c r="N16" s="2023"/>
      <c r="O16" s="1231"/>
      <c r="P16" s="2023"/>
      <c r="Q16" s="1197"/>
      <c r="R16" s="1197"/>
    </row>
    <row r="17" spans="1:22" ht="18" customHeight="1">
      <c r="A17" s="2010" t="s">
        <v>1965</v>
      </c>
      <c r="B17" s="1943" t="s">
        <v>1966</v>
      </c>
      <c r="C17" s="2089">
        <f>'数据-汇总表'!E3</f>
        <v>20083.5</v>
      </c>
      <c r="D17" s="1944" t="s">
        <v>1967</v>
      </c>
      <c r="E17" s="3398" t="s">
        <v>2023</v>
      </c>
      <c r="F17" s="3399"/>
      <c r="G17" s="3399"/>
      <c r="H17" s="3399"/>
      <c r="I17" s="3400"/>
      <c r="J17" s="1197"/>
      <c r="K17" s="2699"/>
      <c r="L17" s="1231"/>
      <c r="M17" s="1231"/>
      <c r="N17" s="2023"/>
      <c r="O17" s="1231"/>
      <c r="P17" s="2023"/>
      <c r="Q17" s="1197"/>
      <c r="R17" s="1197"/>
      <c r="S17" s="1197"/>
      <c r="T17" s="1197"/>
      <c r="U17" s="1197"/>
      <c r="V17" s="1197"/>
    </row>
    <row r="18" spans="1:22" ht="36" customHeight="1" thickBot="1">
      <c r="A18" s="2901" t="s">
        <v>2717</v>
      </c>
      <c r="B18" s="1927" t="s">
        <v>1968</v>
      </c>
      <c r="C18" s="2902">
        <f>'数据-汇总表'!D3</f>
        <v>52242.5</v>
      </c>
      <c r="D18" s="2903" t="s">
        <v>1967</v>
      </c>
      <c r="E18" s="3401" t="s">
        <v>3029</v>
      </c>
      <c r="F18" s="3402"/>
      <c r="G18" s="3402"/>
      <c r="H18" s="3402"/>
      <c r="I18" s="3403"/>
      <c r="J18" s="1197"/>
      <c r="K18" s="2699"/>
      <c r="L18" s="1231"/>
      <c r="M18" s="1231"/>
      <c r="N18" s="2023"/>
      <c r="O18" s="1231"/>
      <c r="P18" s="2023"/>
      <c r="Q18" s="1197"/>
      <c r="R18" s="1197"/>
      <c r="S18" s="1197"/>
      <c r="T18" s="1197"/>
      <c r="U18" s="1197"/>
      <c r="V18" s="1197"/>
    </row>
    <row r="19" spans="1:22" ht="37.5" customHeight="1" thickTop="1" thickBot="1">
      <c r="A19" s="2900" t="s">
        <v>2055</v>
      </c>
      <c r="B19" s="2063" t="s">
        <v>2056</v>
      </c>
      <c r="C19" s="2064"/>
      <c r="D19" s="2046" t="s">
        <v>2059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2060</v>
      </c>
      <c r="B20" s="3388" t="s">
        <v>2061</v>
      </c>
      <c r="C20" s="3389"/>
      <c r="D20" s="3390" t="s">
        <v>2062</v>
      </c>
      <c r="E20" s="3391"/>
      <c r="F20" s="2071" t="s">
        <v>2063</v>
      </c>
      <c r="G20" s="2003"/>
      <c r="H20" s="2003"/>
      <c r="I20" s="2003"/>
      <c r="J20" s="2003"/>
      <c r="K20" s="3387" t="s">
        <v>2058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2064</v>
      </c>
      <c r="C21" s="2035" t="s">
        <v>2065</v>
      </c>
      <c r="D21" s="1992" t="s">
        <v>2068</v>
      </c>
      <c r="E21" s="2036" t="s">
        <v>2065</v>
      </c>
      <c r="F21" s="1981"/>
      <c r="G21" s="2003"/>
      <c r="H21" s="2003"/>
      <c r="I21" s="2003"/>
      <c r="J21" s="2003"/>
      <c r="K21" s="3387"/>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2066</v>
      </c>
      <c r="C22" s="2035" t="s">
        <v>2067</v>
      </c>
      <c r="D22" s="1998"/>
      <c r="E22" s="1998"/>
      <c r="F22" s="2072"/>
      <c r="G22" s="2003"/>
      <c r="H22" s="2003"/>
      <c r="I22" s="2003"/>
      <c r="J22" s="2003"/>
      <c r="K22" s="3387"/>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2069</v>
      </c>
      <c r="B23" s="2068" t="s">
        <v>2070</v>
      </c>
      <c r="C23" s="2069"/>
      <c r="D23" s="1982" t="s">
        <v>2070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2071</v>
      </c>
      <c r="C24" s="2070"/>
      <c r="D24" s="1980" t="s">
        <v>2071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2072</v>
      </c>
      <c r="C25" s="2070"/>
      <c r="D25" s="1980" t="s">
        <v>2072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2073</v>
      </c>
      <c r="C26" s="2074"/>
      <c r="D26" s="2062" t="s">
        <v>2073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405" t="s">
        <v>2077</v>
      </c>
      <c r="B27" s="2012" t="s">
        <v>2078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405"/>
      <c r="B28" s="1943" t="s">
        <v>2079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405"/>
      <c r="B29" s="1943" t="s">
        <v>2080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406"/>
      <c r="B30" s="1943" t="s">
        <v>2081</v>
      </c>
      <c r="C30" s="3407"/>
      <c r="D30" s="3408"/>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409" t="s">
        <v>2082</v>
      </c>
      <c r="B31" s="1939"/>
      <c r="C31" s="1940" t="str">
        <f>IF(B31="现房","成新及维护状况正常否",IF(B31="在建","工程状态是否正常",IF(B31="土地","是否闲置","-")))</f>
        <v>-</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410"/>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410"/>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2037</v>
      </c>
      <c r="B34" s="1963"/>
      <c r="C34" s="1963"/>
      <c r="D34" s="1963"/>
      <c r="E34" s="1963"/>
      <c r="F34" s="1963"/>
      <c r="G34" s="1963"/>
      <c r="H34" s="1963"/>
      <c r="I34" s="2003"/>
      <c r="J34" s="2003"/>
      <c r="K34" s="2890">
        <f>COUNTIF(B34:H34,"——")</f>
        <v>0</v>
      </c>
      <c r="L34" s="2015" t="s">
        <v>2111</v>
      </c>
      <c r="M34" s="2015" t="s">
        <v>2112</v>
      </c>
      <c r="N34" s="2015" t="s">
        <v>2113</v>
      </c>
      <c r="O34" s="2015" t="s">
        <v>2114</v>
      </c>
      <c r="P34" s="2015" t="s">
        <v>2115</v>
      </c>
      <c r="Q34" s="2015" t="s">
        <v>2116</v>
      </c>
      <c r="R34" s="2015" t="s">
        <v>2117</v>
      </c>
      <c r="S34" s="3404" t="s">
        <v>2118</v>
      </c>
      <c r="T34" s="2016" t="str">
        <f>NUMBERSTRING(7-K34,1)&amp;"通"</f>
        <v>七通</v>
      </c>
      <c r="U34" s="1197"/>
      <c r="V34" s="1197"/>
    </row>
    <row r="35" spans="1:22" ht="18" customHeight="1">
      <c r="A35" s="2017"/>
      <c r="B35" s="3411" t="s">
        <v>1881</v>
      </c>
      <c r="C35" s="3411"/>
      <c r="D35" s="3411"/>
      <c r="E35" s="3411"/>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04"/>
      <c r="T35" s="23" t="str">
        <f>IF(T34="一通",L35,IF(T34="二通",M35,IF(T34="三通",N35,IF(T34="四通",O35,IF(T34="五通",P35,IF(T34="六通",Q35,R35))))))</f>
        <v>、、、、、、</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c r="C37" s="2022"/>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1882</v>
      </c>
      <c r="B38" s="2050"/>
      <c r="C38" s="2050"/>
      <c r="D38" s="2050"/>
      <c r="E38" s="2050"/>
      <c r="F38" s="2051"/>
      <c r="G38" s="2002"/>
      <c r="H38" s="2002"/>
      <c r="I38" s="2002"/>
      <c r="J38" s="2003"/>
      <c r="K38" s="2106"/>
      <c r="L38" s="1999"/>
      <c r="M38" s="1999"/>
      <c r="N38" s="1197"/>
      <c r="O38" s="11"/>
      <c r="P38" s="1197"/>
      <c r="Q38" s="1197"/>
      <c r="R38" s="1197"/>
      <c r="S38" s="1197"/>
      <c r="T38" s="1197"/>
      <c r="U38" s="1197"/>
      <c r="V38" s="1197"/>
    </row>
    <row r="39" spans="1:22" s="3317" customFormat="1" ht="18" customHeight="1" thickTop="1" thickBot="1">
      <c r="A39" s="3318" t="s">
        <v>3048</v>
      </c>
      <c r="B39" s="3314"/>
      <c r="C39" s="3314"/>
      <c r="D39" s="3314"/>
      <c r="E39" s="3314"/>
      <c r="F39" s="3314"/>
      <c r="G39" s="3314"/>
      <c r="H39" s="3314"/>
      <c r="I39" s="3314"/>
      <c r="J39" s="3314"/>
      <c r="K39" s="3315"/>
      <c r="L39" s="3314"/>
      <c r="M39" s="3314"/>
      <c r="N39" s="3314"/>
      <c r="O39" s="3316"/>
      <c r="P39" s="3314"/>
      <c r="Q39" s="3314"/>
      <c r="R39" s="3314"/>
      <c r="S39" s="3314"/>
      <c r="T39" s="3314"/>
      <c r="U39" s="3314"/>
      <c r="V39" s="3314"/>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2084</v>
      </c>
      <c r="B42" s="1989" t="s">
        <v>2085</v>
      </c>
      <c r="C42" s="1989" t="s">
        <v>2086</v>
      </c>
      <c r="D42" s="1989" t="s">
        <v>2087</v>
      </c>
      <c r="E42" s="1989" t="s">
        <v>2088</v>
      </c>
      <c r="F42" s="1989" t="s">
        <v>2089</v>
      </c>
      <c r="G42" s="1989" t="s">
        <v>2090</v>
      </c>
      <c r="H42" s="1989" t="s">
        <v>2091</v>
      </c>
      <c r="I42" s="1989" t="s">
        <v>2092</v>
      </c>
      <c r="J42" s="2102" t="s">
        <v>2093</v>
      </c>
      <c r="K42" s="2027" t="s">
        <v>2094</v>
      </c>
      <c r="L42" s="2027" t="s">
        <v>2095</v>
      </c>
      <c r="M42" s="2027" t="s">
        <v>2096</v>
      </c>
      <c r="N42" s="1989" t="s">
        <v>2097</v>
      </c>
      <c r="O42" s="1989" t="s">
        <v>2098</v>
      </c>
      <c r="P42" s="1989" t="s">
        <v>2099</v>
      </c>
      <c r="Q42" s="2015" t="s">
        <v>2100</v>
      </c>
      <c r="R42" s="2015" t="s">
        <v>2101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3"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3"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3"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3"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3"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3"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3"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2420</v>
      </c>
      <c r="AZ2" s="2523" t="s">
        <v>2421</v>
      </c>
      <c r="BA2" s="2524" t="s">
        <v>2422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52242.5</v>
      </c>
      <c r="B3" s="302">
        <f>IF(C3="否",G5-AT5,G5)</f>
        <v>20083.5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20083.5</v>
      </c>
      <c r="H5" s="305">
        <f t="shared" ref="H5:AT5" si="0">SUM(H13:H656)</f>
        <v>20083.5</v>
      </c>
      <c r="I5" s="305">
        <f t="shared" si="0"/>
        <v>20083.5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20083.5</v>
      </c>
      <c r="BA5" s="307">
        <f t="shared" si="1"/>
        <v>20083.5</v>
      </c>
      <c r="BB5" s="307">
        <f t="shared" si="1"/>
        <v>20083.5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52242.5</v>
      </c>
      <c r="F6" s="305" t="s">
        <v>23</v>
      </c>
      <c r="G6" s="305" t="s">
        <v>25</v>
      </c>
      <c r="H6" s="309">
        <f>SUMIF(I$12:AB$12,"总值",I6:AB6)</f>
        <v>52242.5</v>
      </c>
      <c r="I6" s="305">
        <f t="shared" ref="I6:AB6" si="2">ROUND($A$3*I5/$B$3,2)</f>
        <v>52242.5</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52242.5</v>
      </c>
      <c r="AZ6" s="305" t="s">
        <v>29</v>
      </c>
      <c r="BA6" s="305">
        <f>ROUND($AY$6*BA5/$AZ$5,2)</f>
        <v>52242.5</v>
      </c>
      <c r="BB6" s="305">
        <f>ROUND($AY$6*BB5/$AZ$5,2)</f>
        <v>52242.5</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3164</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5" t="s">
        <v>2409</v>
      </c>
      <c r="AE11" s="2494"/>
      <c r="AF11" s="2515" t="s">
        <v>2409</v>
      </c>
      <c r="AG11" s="2494"/>
      <c r="AH11" s="2515" t="s">
        <v>2410</v>
      </c>
      <c r="AI11" s="2516"/>
      <c r="AJ11" s="2515" t="s">
        <v>2410</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4">
      <c r="A13" s="216"/>
      <c r="B13" s="216"/>
      <c r="C13" s="216" t="s">
        <v>3165</v>
      </c>
      <c r="D13" s="217" t="s">
        <v>3168</v>
      </c>
      <c r="E13" s="305">
        <f>IF($C$3="是",ROUND($A$3*G13/$B$3,2),ROUND($A$3*(G13-AT13)/$B$3,2))</f>
        <v>36318.080000000002</v>
      </c>
      <c r="F13" s="321"/>
      <c r="G13" s="322">
        <f>H13+AC13+AT13</f>
        <v>13961.7</v>
      </c>
      <c r="H13" s="309">
        <f>SUMIF(I$12:AB$12,"总值",I13:AB13)</f>
        <v>13961.7</v>
      </c>
      <c r="I13" s="1418">
        <v>13961.7</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联合生产厂房</v>
      </c>
      <c r="AY13" s="304">
        <f>ROUND($AY$6*AZ13/$AZ$5,2)</f>
        <v>36318.080000000002</v>
      </c>
      <c r="AZ13" s="305">
        <f>BA13+BL13</f>
        <v>13961.7</v>
      </c>
      <c r="BA13" s="305">
        <f>SUM(BB13:BK13)</f>
        <v>13961.7</v>
      </c>
      <c r="BB13" s="305">
        <f>IF($D13="是",I13-J13,0)</f>
        <v>13961.7</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t="s">
        <v>3166</v>
      </c>
      <c r="D14" s="217" t="s">
        <v>3168</v>
      </c>
      <c r="E14" s="305">
        <f>IF($C$3="是",ROUND($A$3*G14/$B$3,2),ROUND($A$3*(G14-AT14)/$B$3,2))</f>
        <v>13267.8</v>
      </c>
      <c r="F14" s="321"/>
      <c r="G14" s="322">
        <f>H14+AC14+AT14</f>
        <v>5100.5200000000004</v>
      </c>
      <c r="H14" s="309">
        <f>SUMIF(I$12:AB$12,"总值",I14:AB14)</f>
        <v>5100.5200000000004</v>
      </c>
      <c r="I14" s="1418">
        <v>5100.5200000000004</v>
      </c>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锅炉房</v>
      </c>
      <c r="AY14" s="304">
        <f>ROUND($AY$6*AZ14/$AZ$5,2)</f>
        <v>13267.8</v>
      </c>
      <c r="AZ14" s="305">
        <f>BA14+BL14</f>
        <v>5100.5200000000004</v>
      </c>
      <c r="BA14" s="305">
        <f>SUM(BB14:BK14)</f>
        <v>5100.5200000000004</v>
      </c>
      <c r="BB14" s="305">
        <f>IF($D14="是",I14-J14,0)</f>
        <v>5100.5200000000004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t="s">
        <v>3167</v>
      </c>
      <c r="D15" s="217" t="s">
        <v>3168</v>
      </c>
      <c r="E15" s="305">
        <f>IF($C$3="是",ROUND($A$3*G15/$B$3,2),ROUND($A$3*(G15-AT15)/$B$3,2))</f>
        <v>2656.62</v>
      </c>
      <c r="F15" s="321"/>
      <c r="G15" s="322">
        <f>H15+AC15+AT15</f>
        <v>1021.28</v>
      </c>
      <c r="H15" s="309">
        <f>SUMIF(I$12:AB$12,"总值",I15:AB15)</f>
        <v>1021.28</v>
      </c>
      <c r="I15" s="1418">
        <v>1021.28</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污水处理场</v>
      </c>
      <c r="AY15" s="304">
        <f>ROUND($AY$6*AZ15/$AZ$5,2)</f>
        <v>2656.62</v>
      </c>
      <c r="AZ15" s="305">
        <f>BA15+BL15</f>
        <v>1021.28</v>
      </c>
      <c r="BA15" s="305">
        <f>SUM(BB15:BK15)</f>
        <v>1021.28</v>
      </c>
      <c r="BB15" s="305">
        <f>IF($D15="是",I15-J15,0)</f>
        <v>1021.28</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2" t="s">
        <v>2</v>
      </c>
      <c r="B1" s="3352" t="s">
        <v>37</v>
      </c>
      <c r="C1" s="3352" t="s">
        <v>38</v>
      </c>
      <c r="D1" s="3412" t="s">
        <v>200</v>
      </c>
      <c r="E1" s="3412" t="s">
        <v>201</v>
      </c>
      <c r="F1" s="3412"/>
      <c r="G1" s="3412"/>
      <c r="H1" s="3412"/>
      <c r="I1" s="3412"/>
      <c r="J1" s="3412"/>
      <c r="K1" s="3412"/>
      <c r="L1" s="3412"/>
      <c r="M1" s="3412"/>
    </row>
    <row r="2" spans="1:13" ht="27" customHeight="1">
      <c r="A2" s="3352"/>
      <c r="B2" s="3352"/>
      <c r="C2" s="3352"/>
      <c r="D2" s="3412"/>
      <c r="E2" s="3412" t="s">
        <v>184</v>
      </c>
      <c r="F2" s="3412" t="s">
        <v>185</v>
      </c>
      <c r="G2" s="3412"/>
      <c r="H2" s="3412"/>
      <c r="I2" s="3412"/>
      <c r="J2" s="3412" t="s">
        <v>186</v>
      </c>
      <c r="K2" s="3412"/>
      <c r="L2" s="3412"/>
      <c r="M2" s="3412"/>
    </row>
    <row r="3" spans="1:13" ht="28.5">
      <c r="A3" s="3352"/>
      <c r="B3" s="3352"/>
      <c r="C3" s="3352"/>
      <c r="D3" s="3412"/>
      <c r="E3" s="3412"/>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12" t="s">
        <v>202</v>
      </c>
      <c r="B9" s="3412"/>
      <c r="C9" s="3412"/>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9" sqref="L9"/>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22" t="s">
        <v>645</v>
      </c>
      <c r="B2" s="3422"/>
      <c r="C2" s="3422"/>
      <c r="D2" s="2212" t="s">
        <v>646</v>
      </c>
      <c r="E2" s="19" t="s">
        <v>647</v>
      </c>
      <c r="F2" s="2228"/>
      <c r="G2" s="1180"/>
      <c r="H2" s="1181"/>
      <c r="I2" s="2220" t="s">
        <v>648</v>
      </c>
      <c r="J2" s="2228"/>
      <c r="K2" s="2228"/>
      <c r="L2" s="2228"/>
      <c r="M2" s="2228"/>
      <c r="N2" s="2237"/>
      <c r="O2" s="2228"/>
      <c r="P2" s="2228"/>
    </row>
    <row r="3" spans="1:16" ht="15.75" thickBot="1">
      <c r="A3" s="3423" t="s">
        <v>649</v>
      </c>
      <c r="B3" s="3423"/>
      <c r="C3" s="3423"/>
      <c r="D3" s="335">
        <f>'数据-基础表'!AY6</f>
        <v>52242.5</v>
      </c>
      <c r="E3" s="335">
        <f>'数据-基础表'!AZ5</f>
        <v>20083.5</v>
      </c>
      <c r="F3" s="2228"/>
      <c r="G3" s="442"/>
      <c r="H3" s="440" t="s">
        <v>650</v>
      </c>
      <c r="I3" s="344">
        <f>ROUND('数据-基础表'!B3/'数据-基础表'!A3,2)</f>
        <v>0.38</v>
      </c>
      <c r="J3" s="2228"/>
      <c r="K3" s="2228"/>
      <c r="L3" s="2228"/>
      <c r="M3" s="2228"/>
      <c r="N3" s="2237"/>
      <c r="O3" s="2228"/>
      <c r="P3" s="2228"/>
    </row>
    <row r="4" spans="1:16" ht="14.25">
      <c r="A4" s="3424"/>
      <c r="B4" s="3425"/>
      <c r="C4" s="3426"/>
      <c r="D4" s="20" t="s">
        <v>646</v>
      </c>
      <c r="E4" s="21" t="s">
        <v>647</v>
      </c>
      <c r="F4" s="2228"/>
      <c r="G4" s="1182" t="s">
        <v>1799</v>
      </c>
      <c r="H4" s="440" t="s">
        <v>651</v>
      </c>
      <c r="I4" s="344">
        <f>ROUND(SUMIF('数据-基础表'!I9:AS9,"地上",'数据-基础表'!I5:AS5)/'数据-基础表'!A3,2)</f>
        <v>0.38</v>
      </c>
      <c r="J4" s="2228"/>
      <c r="K4" s="2228"/>
      <c r="L4" s="2228"/>
      <c r="M4" s="2228"/>
      <c r="N4" s="2237"/>
      <c r="O4" s="2228"/>
      <c r="P4" s="2228"/>
    </row>
    <row r="5" spans="1:16" ht="14.25">
      <c r="A5" s="22" t="s">
        <v>652</v>
      </c>
      <c r="B5" s="3427" t="s">
        <v>653</v>
      </c>
      <c r="C5" s="3427"/>
      <c r="D5" s="337">
        <f>ROUND($D$3*E5/$E$3,2)</f>
        <v>0</v>
      </c>
      <c r="E5" s="338">
        <f>SUMIF('数据-基础表'!$11:$11,"住宅",'数据-基础表'!$5:$5)</f>
        <v>0</v>
      </c>
      <c r="F5" s="2228"/>
      <c r="G5" s="442"/>
      <c r="H5" s="440" t="s">
        <v>650</v>
      </c>
      <c r="I5" s="344">
        <f>ROUND(E31/D31,2)</f>
        <v>0.38</v>
      </c>
      <c r="J5" s="2228"/>
      <c r="K5" s="2228"/>
      <c r="L5" s="2228"/>
      <c r="M5" s="2228"/>
      <c r="N5" s="2228"/>
      <c r="O5" s="2228"/>
      <c r="P5" s="2228"/>
    </row>
    <row r="6" spans="1:16" ht="15" thickBot="1">
      <c r="A6" s="24"/>
      <c r="B6" s="3427" t="s">
        <v>654</v>
      </c>
      <c r="C6" s="3427"/>
      <c r="D6" s="337">
        <f>ROUND($D$3*E6/$E$3,2)</f>
        <v>52242.5</v>
      </c>
      <c r="E6" s="338">
        <f>E3-E5</f>
        <v>20083.5</v>
      </c>
      <c r="F6" s="2228"/>
      <c r="G6" s="1762" t="s">
        <v>1800</v>
      </c>
      <c r="H6" s="442" t="s">
        <v>651</v>
      </c>
      <c r="I6" s="1763">
        <f>ROUND(F31/D31,2)</f>
        <v>0.38</v>
      </c>
      <c r="J6" s="2228"/>
      <c r="K6" s="2228"/>
      <c r="L6" s="2228"/>
      <c r="M6" s="2228"/>
      <c r="N6" s="2228"/>
      <c r="O6" s="2228"/>
      <c r="P6" s="2228"/>
    </row>
    <row r="7" spans="1:16" ht="14.25">
      <c r="A7" s="3419"/>
      <c r="B7" s="3420"/>
      <c r="C7" s="3421"/>
      <c r="D7" s="20" t="s">
        <v>646</v>
      </c>
      <c r="E7" s="25" t="s">
        <v>647</v>
      </c>
      <c r="F7" s="2228"/>
      <c r="G7" s="1180" t="s">
        <v>1879</v>
      </c>
      <c r="H7" s="38"/>
      <c r="I7" s="763"/>
      <c r="J7" s="2228"/>
      <c r="K7" s="2228"/>
      <c r="L7" s="2228"/>
      <c r="M7" s="2228"/>
      <c r="N7" s="2228"/>
      <c r="O7" s="2228"/>
      <c r="P7" s="2228"/>
    </row>
    <row r="8" spans="1:16" ht="14.25">
      <c r="A8" s="22" t="s">
        <v>655</v>
      </c>
      <c r="B8" s="26" t="s">
        <v>656</v>
      </c>
      <c r="C8" s="23" t="s">
        <v>657</v>
      </c>
      <c r="D8" s="337">
        <f t="shared" ref="D8:D15" si="0">ROUND($D$3*E8/$E$3,2)</f>
        <v>52242.5</v>
      </c>
      <c r="E8" s="340">
        <f>SUMIF('数据-基础表'!BB10:BK10,"地上",'数据-基础表'!BB5:BK5)</f>
        <v>20083.5</v>
      </c>
      <c r="F8" s="2228"/>
      <c r="G8" s="2229"/>
      <c r="H8" s="2229"/>
      <c r="I8" s="2228"/>
      <c r="J8" s="2228"/>
      <c r="K8" s="2228"/>
      <c r="L8" s="2228"/>
      <c r="M8" s="2228"/>
      <c r="N8" s="2228"/>
      <c r="O8" s="2228"/>
      <c r="P8" s="2228"/>
    </row>
    <row r="9" spans="1:16" ht="14.25">
      <c r="A9" s="27"/>
      <c r="B9" s="28"/>
      <c r="C9" s="23" t="s">
        <v>658</v>
      </c>
      <c r="D9" s="337">
        <f t="shared" si="0"/>
        <v>0</v>
      </c>
      <c r="E9" s="341">
        <v>0</v>
      </c>
      <c r="F9" s="2228"/>
      <c r="G9" s="2229"/>
      <c r="H9" s="2229"/>
      <c r="I9" s="2228"/>
      <c r="J9" s="2228"/>
      <c r="K9" s="2228"/>
      <c r="L9" s="2228"/>
      <c r="M9" s="2228"/>
      <c r="N9" s="2228"/>
      <c r="O9" s="2228"/>
      <c r="P9" s="2228"/>
    </row>
    <row r="10" spans="1:16" ht="14.25">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2411</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52242.5</v>
      </c>
      <c r="E16" s="342">
        <f>SUM(E8:E15)</f>
        <v>20083.5</v>
      </c>
      <c r="F16" s="2228"/>
      <c r="G16" s="2229"/>
      <c r="H16" s="1179" t="s">
        <v>535</v>
      </c>
      <c r="I16" s="1183"/>
      <c r="J16" s="2228"/>
      <c r="K16" s="3416" t="s">
        <v>535</v>
      </c>
      <c r="L16" s="3417"/>
      <c r="M16" s="3417"/>
      <c r="N16" s="3417"/>
      <c r="O16" s="3417"/>
      <c r="P16" s="3418"/>
    </row>
    <row r="17" spans="1:19" ht="14.25">
      <c r="A17" s="29" t="s">
        <v>665</v>
      </c>
      <c r="B17" s="30" t="s">
        <v>666</v>
      </c>
      <c r="C17" s="34" t="s">
        <v>2402</v>
      </c>
      <c r="D17" s="2078" t="s">
        <v>646</v>
      </c>
      <c r="E17" s="2076" t="s">
        <v>647</v>
      </c>
      <c r="F17" s="36"/>
      <c r="G17" s="37"/>
      <c r="H17" s="1184" t="s">
        <v>667</v>
      </c>
      <c r="I17" s="1185" t="s">
        <v>207</v>
      </c>
      <c r="J17" s="2228"/>
      <c r="K17" s="3413" t="s">
        <v>673</v>
      </c>
      <c r="L17" s="3414"/>
      <c r="M17" s="3415"/>
      <c r="N17" s="3413" t="s">
        <v>2705</v>
      </c>
      <c r="O17" s="3414"/>
      <c r="P17" s="3415"/>
      <c r="R17" s="2488" t="s">
        <v>2403</v>
      </c>
      <c r="S17" s="354"/>
    </row>
    <row r="18" spans="1:19">
      <c r="A18" s="27"/>
      <c r="B18" s="31"/>
      <c r="C18" s="35"/>
      <c r="D18" s="2079"/>
      <c r="E18" s="2077" t="s">
        <v>668</v>
      </c>
      <c r="F18" s="15" t="s">
        <v>669</v>
      </c>
      <c r="G18" s="16" t="s">
        <v>670</v>
      </c>
      <c r="H18" s="1186" t="s">
        <v>671</v>
      </c>
      <c r="I18" s="1187" t="s">
        <v>672</v>
      </c>
      <c r="J18" s="2228"/>
      <c r="K18" s="1186" t="s">
        <v>2698</v>
      </c>
      <c r="L18" s="6" t="s">
        <v>2706</v>
      </c>
      <c r="M18" s="2809" t="s">
        <v>2704</v>
      </c>
      <c r="N18" s="1186" t="s">
        <v>2698</v>
      </c>
      <c r="O18" s="6" t="s">
        <v>2706</v>
      </c>
      <c r="P18" s="2809" t="s">
        <v>2704</v>
      </c>
      <c r="R18" s="2489" t="s">
        <v>2404</v>
      </c>
      <c r="S18" s="2489" t="s">
        <v>2405</v>
      </c>
    </row>
    <row r="19" spans="1:19" ht="14.25">
      <c r="A19" s="32"/>
      <c r="B19" s="26" t="s">
        <v>119</v>
      </c>
      <c r="C19" s="1421" t="s">
        <v>3170</v>
      </c>
      <c r="D19" s="337">
        <f>ROUND($D$3*E19/$E$3,2)</f>
        <v>52242.5</v>
      </c>
      <c r="E19" s="345">
        <f t="shared" ref="E19:E26" si="1">SUM(F19:G19)</f>
        <v>20083.5</v>
      </c>
      <c r="F19" s="346">
        <f>13961.7+5100.52+1021.28</f>
        <v>20083.5</v>
      </c>
      <c r="G19" s="347"/>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52242.5</v>
      </c>
      <c r="S19" s="2491">
        <f t="shared" si="5"/>
        <v>20083.5</v>
      </c>
    </row>
    <row r="20" spans="1:19" ht="14.25">
      <c r="A20" s="33"/>
      <c r="B20" s="26" t="s">
        <v>639</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640</v>
      </c>
      <c r="D27" s="2813">
        <f>SUM(D19:D26)</f>
        <v>52242.5</v>
      </c>
      <c r="E27" s="2814">
        <f>IF(SUM(E19:E26)='数据-基础表'!BA5,SUM(E19:E26),IF(F27="地上面积有误","面积有误","地下面积有误"))</f>
        <v>20083.5</v>
      </c>
      <c r="F27" s="2813">
        <f>IF(SUM(F19:F26)=E8,SUM(F19:F26),"地上面积有误")</f>
        <v>20083.5</v>
      </c>
      <c r="G27" s="2815">
        <f>SUM(G19:G26)</f>
        <v>0</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52242.5</v>
      </c>
      <c r="S27" s="2490">
        <f>IF(SUM(S19:S26)=$E$3,SUM(S19:S26),SUM(S19:S26)&amp;"误差"&amp;ROUND(SUM(S19:S26)-E3,2))</f>
        <v>20083.5</v>
      </c>
    </row>
    <row r="28" spans="1:19" ht="14.25">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2406</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f>D27+D30</f>
        <v>52242.5</v>
      </c>
      <c r="E31" s="1189">
        <f>E27+E30</f>
        <v>20083.5</v>
      </c>
      <c r="F31" s="1190">
        <f>F27+F30</f>
        <v>20083.5</v>
      </c>
      <c r="G31" s="1191">
        <f>G27+G30</f>
        <v>0</v>
      </c>
      <c r="H31" s="2228"/>
      <c r="I31" s="2228"/>
      <c r="J31" s="2228"/>
      <c r="K31" s="2228"/>
      <c r="L31" s="2228"/>
      <c r="M31" s="2228"/>
      <c r="N31" s="2228"/>
      <c r="O31" s="2228"/>
      <c r="P31" s="2228"/>
    </row>
    <row r="32" spans="1:19" ht="14.25">
      <c r="A32" s="1182"/>
      <c r="B32" s="1182" t="s">
        <v>2719</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J24" sqref="AJ24"/>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42921</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54">
      <c r="A5" s="47" t="s">
        <v>2408</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2699</v>
      </c>
      <c r="T5" s="274" t="s">
        <v>696</v>
      </c>
      <c r="U5" s="2520" t="s">
        <v>2414</v>
      </c>
      <c r="V5" s="51" t="s">
        <v>697</v>
      </c>
      <c r="W5" s="2521" t="s">
        <v>2415</v>
      </c>
      <c r="X5" s="62"/>
      <c r="Y5" s="60" t="s">
        <v>698</v>
      </c>
      <c r="Z5" s="61" t="s">
        <v>699</v>
      </c>
      <c r="AA5" s="51" t="s">
        <v>697</v>
      </c>
      <c r="AB5" s="2521" t="s">
        <v>2415</v>
      </c>
      <c r="AC5" s="62"/>
      <c r="AD5" s="62" t="s">
        <v>698</v>
      </c>
      <c r="AE5" s="14" t="s">
        <v>540</v>
      </c>
      <c r="AF5" s="51" t="s">
        <v>700</v>
      </c>
      <c r="AG5" s="60" t="s">
        <v>701</v>
      </c>
      <c r="AH5" s="14" t="s">
        <v>2419</v>
      </c>
      <c r="AI5" s="61" t="s">
        <v>2335</v>
      </c>
      <c r="AJ5" s="61" t="s">
        <v>702</v>
      </c>
      <c r="AK5" s="2521" t="s">
        <v>2416</v>
      </c>
      <c r="AL5" s="2521" t="s">
        <v>2417</v>
      </c>
      <c r="AM5" s="360" t="s">
        <v>2418</v>
      </c>
      <c r="AN5" s="2578" t="s">
        <v>2458</v>
      </c>
      <c r="AO5" s="2015" t="s">
        <v>2690</v>
      </c>
      <c r="AP5" s="2897" t="s">
        <v>2700</v>
      </c>
      <c r="AQ5" s="2898" t="s">
        <v>2811</v>
      </c>
      <c r="AR5" s="2898" t="s">
        <v>2812</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地上工业</v>
      </c>
      <c r="B6" s="2496" t="str">
        <f>IF(A6=0,"","经营性")</f>
        <v>经营性</v>
      </c>
      <c r="C6" s="39" t="s">
        <v>39</v>
      </c>
      <c r="D6" s="2059">
        <f>SUMIF(项目基本情况!D$12:I$12,C6,项目基本情况!D$14:I$14)</f>
        <v>50</v>
      </c>
      <c r="E6" s="2053">
        <f>IF(B6="","",SUMIF(项目基本情况!D$12:I$12,C6,项目基本情况!D$13:I$13))</f>
        <v>56327</v>
      </c>
      <c r="F6" s="362">
        <f>SUMIF(项目基本情况!D$12:I$12,C6,项目基本情况!D$15:I$15)</f>
        <v>36.72</v>
      </c>
      <c r="G6" s="363">
        <f>IF(ISERROR(ROUND(POWER(1+H6,D6-F6)*(POWER(1+H6,F6)-1)/(POWER(1+H6,D6)-1),3)),0,ROUND(POWER(1+H6,D6-F6)*(POWER(1+H6,F6)-1)/(POWER(1+H6,D6)-1),3))</f>
        <v>0.88800000000000001</v>
      </c>
      <c r="H6" s="1476">
        <v>0.04</v>
      </c>
      <c r="I6" s="1476">
        <v>0.05</v>
      </c>
      <c r="J6" s="364">
        <v>4.4999999999999998E-2</v>
      </c>
      <c r="K6" s="2499">
        <f>SUMIF('数据-汇总表'!C$19:C$33,A6,'数据-汇总表'!E$19:E$33)</f>
        <v>20083.5</v>
      </c>
      <c r="L6" s="1477">
        <v>2000</v>
      </c>
      <c r="M6" s="365">
        <f t="shared" ref="M6:M14" si="0">ROUND(K6*L6/10000,0)</f>
        <v>4017</v>
      </c>
      <c r="N6" s="1475">
        <v>0.76</v>
      </c>
      <c r="O6" s="365" t="str">
        <f>IF($N$5="成新度","——",ROUND(M6*N6,0))</f>
        <v>——</v>
      </c>
      <c r="P6" s="366" t="str">
        <f>IF($N$5="成新度","——",M6-O6)</f>
        <v>——</v>
      </c>
      <c r="Q6" s="1478">
        <v>0.1</v>
      </c>
      <c r="R6" s="367">
        <f ca="1">SUMIF('数据-汇总表'!C$19:C$33,A6,'数据-汇总表'!R$19:R$27)</f>
        <v>52242.5</v>
      </c>
      <c r="S6" s="343">
        <f>IF('数据-汇总表'!$I$17="按面积比例",SUMIF('数据-汇总表'!C$19:C$33,A6,'数据-汇总表'!K$19:K$33),SUMIF('数据-汇总表'!C$19:C$33,A6,'数据-汇总表'!N$19:N$33))</f>
        <v>0</v>
      </c>
      <c r="T6" s="2896">
        <f>ROUND($L$14*S6/10000,0)</f>
        <v>0</v>
      </c>
      <c r="U6" s="368">
        <v>0.75</v>
      </c>
      <c r="V6" s="369">
        <v>1.4999999999999999E-2</v>
      </c>
      <c r="W6" s="369">
        <v>0.15</v>
      </c>
      <c r="X6" s="2509"/>
      <c r="Y6" s="370">
        <v>0.76</v>
      </c>
      <c r="Z6" s="371"/>
      <c r="AA6" s="364"/>
      <c r="AB6" s="364"/>
      <c r="AC6" s="2509"/>
      <c r="AD6" s="372"/>
      <c r="AE6" s="2510">
        <f ca="1">IF(AN6="",0,SUMIF(INDIRECT("'"&amp;AN6&amp;"'"&amp;"!E:E"),$AE$5,INDIRECT("'"&amp;AN6&amp;"'"&amp;"!F:F")))</f>
        <v>36.72</v>
      </c>
      <c r="AF6" s="352"/>
      <c r="AG6" s="478">
        <f>IF(AF6="",0,AE6-AF6)</f>
        <v>0</v>
      </c>
      <c r="AH6" s="373"/>
      <c r="AI6" s="375">
        <v>365</v>
      </c>
      <c r="AJ6" s="376"/>
      <c r="AK6" s="377">
        <v>1.4999999999999999E-2</v>
      </c>
      <c r="AL6" s="378">
        <v>1.5E-3</v>
      </c>
      <c r="AM6" s="379">
        <v>0.01</v>
      </c>
      <c r="AN6" s="2579" t="s">
        <v>3171</v>
      </c>
      <c r="AO6" s="344">
        <f ca="1">SUMIF(INDIRECT("'"&amp;AN6&amp;"'"&amp;"!A:A"),"总价",INDIRECT("'"&amp;AN6&amp;"'"&amp;"!B:B"))</f>
        <v>5818</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2407</v>
      </c>
      <c r="B15" s="2496" t="s">
        <v>536</v>
      </c>
      <c r="C15" s="2497" t="s">
        <v>2110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0.88800000000000001</v>
      </c>
      <c r="H16" s="389">
        <f>ROUND(SUMPRODUCT(H6:H13,K6:K13)/SUMPRODUCT((H6:H13&gt;0)*(K6:K13)),3)</f>
        <v>0.04</v>
      </c>
      <c r="I16" s="390"/>
      <c r="J16" s="390"/>
      <c r="K16" s="391">
        <f>SUM(K6:K15)</f>
        <v>20083.5</v>
      </c>
      <c r="L16" s="392">
        <f>ROUND(M16*10000/SUM(K6:K14),0)</f>
        <v>2000</v>
      </c>
      <c r="M16" s="392">
        <f>SUM(M6:M14)</f>
        <v>4017</v>
      </c>
      <c r="N16" s="393">
        <f>ROUND(SUMPRODUCT(M6:M14,N6:N14)/M16,3)</f>
        <v>0.76</v>
      </c>
      <c r="O16" s="392">
        <f>SUM(O6:O14)</f>
        <v>0</v>
      </c>
      <c r="P16" s="392">
        <f>SUM(P6:P14)</f>
        <v>0</v>
      </c>
      <c r="Q16" s="394">
        <f>ROUND(SUMPRODUCT(Q6:Q13,K6:K13)/SUMPRODUCT((Q6:Q13&gt;0)*(K6:K13)),2)</f>
        <v>0.1</v>
      </c>
      <c r="R16" s="2503">
        <f ca="1">SUM(R6:R13)</f>
        <v>52242.5</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2423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3338">
        <v>1</v>
      </c>
      <c r="C20" s="2235" t="s">
        <v>2424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v>1</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1</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1</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v>10.7</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2702</v>
      </c>
      <c r="B29" s="411"/>
      <c r="C29" s="2531" t="s">
        <v>2703</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v>0.03</v>
      </c>
      <c r="C33" s="3296" t="s">
        <v>3016</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v>0</v>
      </c>
      <c r="C34" s="3296" t="s">
        <v>3017</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v>200</v>
      </c>
      <c r="C35" s="3296" t="s">
        <v>3018</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v>1.4999999999999999E-2</v>
      </c>
      <c r="C36" s="3296" t="s">
        <v>3019</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v>1.4999999999999999E-2</v>
      </c>
      <c r="C37" s="3296" t="s">
        <v>3020</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v>0.01</v>
      </c>
      <c r="C38" s="3296" t="s">
        <v>3020</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2552</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2628</v>
      </c>
      <c r="B40" s="2639">
        <f ca="1">存贷款利率!G1</f>
        <v>4.3499999999999997E-2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5.5000000000000007E-2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1">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5.000000000000001E-3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v>0.05</v>
      </c>
      <c r="C44" s="3296" t="s">
        <v>3022</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v>0.03</v>
      </c>
      <c r="C45" s="3297" t="s">
        <v>3021</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v>0.02</v>
      </c>
      <c r="C46" s="3297" t="s">
        <v>3049</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v>0.04</v>
      </c>
      <c r="C48" s="3319" t="s">
        <v>3050</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19" t="s">
        <v>3051</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3</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t="s">
        <v>1233</v>
      </c>
      <c r="C53" s="2237" t="s">
        <v>3023</v>
      </c>
      <c r="D53" s="2240" t="s">
        <v>3027</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v>3</v>
      </c>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3024</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3025</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3026</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28" t="s">
        <v>754</v>
      </c>
      <c r="B1" s="3429"/>
      <c r="C1" s="3429"/>
      <c r="D1" s="3429"/>
      <c r="E1" s="3429"/>
      <c r="F1" s="3429"/>
      <c r="G1" s="3429"/>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54">
      <c r="A3" s="1021" t="s">
        <v>757</v>
      </c>
      <c r="B3" s="51" t="s">
        <v>52</v>
      </c>
      <c r="C3" s="3298" t="s">
        <v>758</v>
      </c>
      <c r="D3" s="2259"/>
      <c r="E3" s="1030" t="s">
        <v>757</v>
      </c>
      <c r="F3" s="1214" t="s">
        <v>99</v>
      </c>
      <c r="G3" s="3302" t="s">
        <v>3030</v>
      </c>
      <c r="H3" s="2258"/>
      <c r="I3" s="2258"/>
      <c r="J3" s="2258"/>
      <c r="K3" s="2258"/>
      <c r="L3" s="2258"/>
      <c r="M3" s="2258"/>
      <c r="N3" s="2258"/>
      <c r="O3" s="2258"/>
      <c r="P3" s="2258"/>
      <c r="Q3" s="2258"/>
      <c r="R3" s="2258"/>
    </row>
    <row r="4" spans="1:29" ht="40.5">
      <c r="A4" s="1030"/>
      <c r="B4" s="2214" t="s">
        <v>759</v>
      </c>
      <c r="C4" s="3299" t="s">
        <v>760</v>
      </c>
      <c r="D4" s="2259"/>
      <c r="E4" s="1215"/>
      <c r="F4" s="2218" t="s">
        <v>761</v>
      </c>
      <c r="G4" s="3300" t="s">
        <v>762</v>
      </c>
      <c r="H4" s="2258"/>
      <c r="I4" s="2258"/>
      <c r="J4" s="2258"/>
      <c r="K4" s="2258"/>
      <c r="L4" s="2258"/>
      <c r="M4" s="2258"/>
      <c r="N4" s="2258"/>
      <c r="O4" s="2258"/>
      <c r="P4" s="2258"/>
      <c r="Q4" s="2258"/>
      <c r="R4" s="2258"/>
    </row>
    <row r="5" spans="1:29" ht="40.5">
      <c r="A5" s="1030"/>
      <c r="B5" s="2214" t="s">
        <v>763</v>
      </c>
      <c r="C5" s="3299" t="s">
        <v>764</v>
      </c>
      <c r="D5" s="2259"/>
      <c r="E5" s="1215"/>
      <c r="F5" s="2747" t="s">
        <v>2645</v>
      </c>
      <c r="G5" s="3300" t="s">
        <v>2647</v>
      </c>
      <c r="H5" s="2258"/>
      <c r="I5" s="2258"/>
      <c r="J5" s="2258"/>
      <c r="K5" s="2258"/>
      <c r="L5" s="2258"/>
      <c r="M5" s="2258"/>
      <c r="N5" s="2258"/>
      <c r="O5" s="2258"/>
      <c r="P5" s="2258"/>
      <c r="Q5" s="2258"/>
      <c r="R5" s="2258"/>
    </row>
    <row r="6" spans="1:29" ht="54">
      <c r="A6" s="1030"/>
      <c r="B6" s="2214" t="s">
        <v>72</v>
      </c>
      <c r="C6" s="3300" t="s">
        <v>738</v>
      </c>
      <c r="D6" s="2259"/>
      <c r="E6" s="1215"/>
      <c r="F6" s="2747" t="s">
        <v>2644</v>
      </c>
      <c r="G6" s="3300" t="s">
        <v>2646</v>
      </c>
      <c r="H6" s="2258"/>
      <c r="I6" s="2258"/>
      <c r="J6" s="2258"/>
      <c r="K6" s="2258"/>
      <c r="L6" s="2258"/>
      <c r="M6" s="2258"/>
      <c r="N6" s="2258"/>
      <c r="O6" s="2258"/>
      <c r="P6" s="2258"/>
      <c r="Q6" s="2258"/>
      <c r="R6" s="2258"/>
    </row>
    <row r="7" spans="1:29" ht="41.25" thickBot="1">
      <c r="A7" s="1030"/>
      <c r="B7" s="2214" t="s">
        <v>2645</v>
      </c>
      <c r="C7" s="3300" t="s">
        <v>2647</v>
      </c>
      <c r="D7" s="2260"/>
      <c r="E7" s="1216"/>
      <c r="F7" s="1217" t="s">
        <v>739</v>
      </c>
      <c r="G7" s="3303" t="s">
        <v>3031</v>
      </c>
      <c r="H7" s="2258"/>
      <c r="I7" s="2258"/>
      <c r="J7" s="2258"/>
      <c r="K7" s="2258"/>
      <c r="L7" s="2258"/>
      <c r="M7" s="2258"/>
      <c r="N7" s="2258"/>
      <c r="O7" s="2258"/>
      <c r="P7" s="2258"/>
      <c r="Q7" s="2258"/>
      <c r="R7" s="2258"/>
    </row>
    <row r="8" spans="1:29" ht="27">
      <c r="A8" s="1030"/>
      <c r="B8" s="2747" t="s">
        <v>2644</v>
      </c>
      <c r="C8" s="3300" t="s">
        <v>2646</v>
      </c>
      <c r="D8" s="2260"/>
      <c r="E8" s="2260"/>
      <c r="F8" s="2261"/>
      <c r="G8" s="2261"/>
      <c r="H8" s="2258"/>
      <c r="I8" s="2258"/>
      <c r="J8" s="2258"/>
      <c r="K8" s="2258"/>
      <c r="L8" s="2258"/>
      <c r="M8" s="2258"/>
      <c r="N8" s="2258"/>
      <c r="O8" s="2258"/>
      <c r="P8" s="2258"/>
      <c r="Q8" s="2258"/>
      <c r="R8" s="2258"/>
    </row>
    <row r="9" spans="1:29" ht="40.5">
      <c r="A9" s="1030"/>
      <c r="B9" s="2214" t="s">
        <v>73</v>
      </c>
      <c r="C9" s="3299"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1"/>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54">
      <c r="A15" s="46" t="s">
        <v>745</v>
      </c>
      <c r="B15" s="14" t="s">
        <v>52</v>
      </c>
      <c r="C15" s="1225" t="str">
        <f>C3</f>
        <v>估价对象周边居住用地比例、居住小区规模和社区发展完善程度，综合评价居住社区成熟度一般</v>
      </c>
      <c r="D15" s="2259"/>
      <c r="E15" s="2760" t="s">
        <v>746</v>
      </c>
      <c r="F15" s="14" t="s">
        <v>747</v>
      </c>
      <c r="G15" s="1023" t="str">
        <f>G3</f>
        <v>估价对象位于XX开发区，园区建设成熟度XX，产业集聚程度XX</v>
      </c>
    </row>
    <row r="16" spans="1:29" ht="40.5">
      <c r="A16" s="2763"/>
      <c r="B16" s="1226" t="s">
        <v>748</v>
      </c>
      <c r="C16" s="1227" t="str">
        <f>C4</f>
        <v>估价对象位于XX商圈，周边商业氛围成熟，人流量大，商业繁华度好</v>
      </c>
      <c r="D16" s="2259"/>
      <c r="E16" s="2761"/>
      <c r="F16" s="1228" t="s">
        <v>749</v>
      </c>
      <c r="G16" s="1025" t="str">
        <f>G4</f>
        <v>估价对象周边道路状况、公共交通通达情况、停车便捷程度，综合评价交通便捷度较好</v>
      </c>
    </row>
    <row r="17" spans="1:18" ht="40.5">
      <c r="A17" s="2763"/>
      <c r="B17" s="1226" t="s">
        <v>750</v>
      </c>
      <c r="C17" s="1227" t="str">
        <f>C5</f>
        <v>估价对象位于XX商圈，周边办公楼项目较多，入驻率高，办公集聚程度较好</v>
      </c>
      <c r="D17" s="2260"/>
      <c r="E17" s="2761"/>
      <c r="F17" s="1228" t="s">
        <v>751</v>
      </c>
      <c r="G17" s="271"/>
    </row>
    <row r="18" spans="1:18" ht="54">
      <c r="A18" s="2763"/>
      <c r="B18" s="1228" t="s">
        <v>72</v>
      </c>
      <c r="C18" s="1025" t="str">
        <f>C6</f>
        <v>估价对象周边道路状况、公共交通通达情况、停车便捷程度，综合评价交通便捷度较好</v>
      </c>
      <c r="D18" s="2260"/>
      <c r="E18" s="2761"/>
      <c r="F18" s="1228" t="s">
        <v>739</v>
      </c>
      <c r="G18" s="1025" t="str">
        <f>G7</f>
        <v>该园区内是否有污染型企业，绿化情况，卫生条件，整体环境状况判断</v>
      </c>
    </row>
    <row r="19" spans="1:18" ht="27">
      <c r="A19" s="2763"/>
      <c r="B19" s="1228" t="s">
        <v>91</v>
      </c>
      <c r="C19" s="271"/>
      <c r="D19" s="2259"/>
      <c r="E19" s="2761"/>
      <c r="F19" s="2747" t="s">
        <v>2645</v>
      </c>
      <c r="G19" s="1025" t="str">
        <f>G5</f>
        <v>估价对象所在区域公共配套设施齐备情况</v>
      </c>
    </row>
    <row r="20" spans="1:18" ht="40.5">
      <c r="A20" s="2763"/>
      <c r="B20" s="1228" t="s">
        <v>90</v>
      </c>
      <c r="C20" s="1227" t="str">
        <f>C9</f>
        <v>区域自然环境：；人文环境；综合评价环境状况一般</v>
      </c>
      <c r="D20" s="2260"/>
      <c r="E20" s="2761"/>
      <c r="F20" s="2747" t="s">
        <v>2644</v>
      </c>
      <c r="G20" s="1025" t="str">
        <f>G6</f>
        <v>估价对象所在区域基础设施水平</v>
      </c>
    </row>
    <row r="21" spans="1:18" ht="27">
      <c r="A21" s="2763"/>
      <c r="B21" s="2747" t="s">
        <v>2645</v>
      </c>
      <c r="C21" s="1025" t="str">
        <f>C7</f>
        <v>估价对象所在区域公共配套设施齐备情况</v>
      </c>
      <c r="D21" s="2259"/>
      <c r="E21" s="2761"/>
      <c r="F21" s="1228" t="s">
        <v>89</v>
      </c>
      <c r="G21" s="283"/>
    </row>
    <row r="22" spans="1:18" ht="13.5" customHeight="1">
      <c r="A22" s="2763"/>
      <c r="B22" s="2747" t="s">
        <v>2644</v>
      </c>
      <c r="C22" s="1025" t="str">
        <f>C8</f>
        <v>估价对象所在区域基础设施水平</v>
      </c>
      <c r="D22" s="2259"/>
      <c r="E22" s="2761"/>
      <c r="F22" s="1228" t="s">
        <v>752</v>
      </c>
      <c r="G22" s="271"/>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K10" sqref="K10"/>
    </sheetView>
  </sheetViews>
  <sheetFormatPr defaultRowHeight="13.5"/>
  <cols>
    <col min="1" max="1" width="23.375" style="3257" customWidth="1"/>
    <col min="2" max="9" width="15.75" style="3257" customWidth="1"/>
    <col min="10" max="16384" width="9" style="3257"/>
  </cols>
  <sheetData>
    <row r="1" spans="1:10" ht="16.5">
      <c r="A1" s="3262" t="s">
        <v>2999</v>
      </c>
      <c r="B1" s="3262">
        <f>SUM(B14:B23)</f>
        <v>25791.829999999998</v>
      </c>
      <c r="C1" s="3261"/>
      <c r="D1" s="3261"/>
      <c r="E1" s="3261"/>
      <c r="F1" s="3261"/>
      <c r="G1" s="3259"/>
    </row>
    <row r="2" spans="1:10" ht="16.5">
      <c r="A2" s="3262" t="s">
        <v>2987</v>
      </c>
      <c r="B2" s="3262">
        <f>SUM(C14:C23)</f>
        <v>76656.599999999991</v>
      </c>
      <c r="C2" s="3261"/>
      <c r="D2" s="3261"/>
      <c r="E2" s="3261"/>
      <c r="F2" s="3261"/>
      <c r="G2" s="3259"/>
    </row>
    <row r="3" spans="1:10" ht="16.5">
      <c r="A3" s="3262" t="s">
        <v>2996</v>
      </c>
      <c r="B3" s="3263">
        <f>项目基本情况!D3</f>
        <v>42921</v>
      </c>
      <c r="C3" s="3261"/>
      <c r="D3" s="3261"/>
      <c r="E3" s="3261"/>
      <c r="F3" s="3261"/>
      <c r="G3" s="3259"/>
    </row>
    <row r="4" spans="1:10" ht="33">
      <c r="A4" s="3262" t="s">
        <v>2995</v>
      </c>
      <c r="B4" s="3262" t="s">
        <v>2994</v>
      </c>
      <c r="C4" s="3262" t="s">
        <v>2993</v>
      </c>
      <c r="D4" s="3262" t="s">
        <v>2992</v>
      </c>
      <c r="E4" s="3261"/>
      <c r="F4" s="3259"/>
      <c r="G4" s="3259"/>
    </row>
    <row r="5" spans="1:10" ht="16.5">
      <c r="A5" s="3262" t="s">
        <v>2991</v>
      </c>
      <c r="B5" s="3262">
        <f ca="1">SUM(D14:D23)</f>
        <v>6602</v>
      </c>
      <c r="C5" s="3262">
        <f ca="1">ROUND(B5*10000/$B$1,0)</f>
        <v>2560</v>
      </c>
      <c r="D5" s="3262">
        <f ca="1">ROUND(B5*10000/$B$2,0)</f>
        <v>861</v>
      </c>
      <c r="E5" s="3261"/>
      <c r="F5" s="3259"/>
      <c r="G5" s="3259"/>
    </row>
    <row r="6" spans="1:10" ht="16.5">
      <c r="A6" s="3262" t="s">
        <v>2990</v>
      </c>
      <c r="B6" s="3262">
        <f ca="1">SUM(G14:G23)</f>
        <v>5173</v>
      </c>
      <c r="C6" s="3262">
        <f ca="1">ROUND(B6*10000/$B$1,0)</f>
        <v>2006</v>
      </c>
      <c r="D6" s="3262">
        <f ca="1">ROUND(B6*10000/$B$2,0)</f>
        <v>675</v>
      </c>
      <c r="E6" s="3261"/>
      <c r="F6" s="3259"/>
      <c r="G6" s="3259"/>
    </row>
    <row r="7" spans="1:10" ht="16.5">
      <c r="A7" s="3262" t="s">
        <v>2998</v>
      </c>
      <c r="B7" s="3262">
        <f>SUM(H14:H23)</f>
        <v>0</v>
      </c>
      <c r="C7" s="3262">
        <f>ROUND(B7*10000/$B$1,0)</f>
        <v>0</v>
      </c>
      <c r="D7" s="3262">
        <f>ROUND(B7*10000/$B$2,0)</f>
        <v>0</v>
      </c>
      <c r="E7" s="3261"/>
      <c r="F7" s="3259"/>
      <c r="G7" s="3259"/>
    </row>
    <row r="8" spans="1:10" ht="16.5">
      <c r="A8" s="3262" t="s">
        <v>2887</v>
      </c>
      <c r="B8" s="3262">
        <f>SUM(I14:I23)</f>
        <v>0</v>
      </c>
      <c r="C8" s="3262">
        <f>ROUND(B8*10000/$B$1,0)</f>
        <v>0</v>
      </c>
      <c r="D8" s="3262">
        <f>ROUND(B8*10000/$B$2,0)</f>
        <v>0</v>
      </c>
      <c r="E8" s="3261"/>
      <c r="F8" s="3259"/>
      <c r="G8" s="3259"/>
    </row>
    <row r="9" spans="1:10" ht="16.5">
      <c r="A9" s="3262" t="s">
        <v>2989</v>
      </c>
      <c r="B9" s="3264"/>
      <c r="C9" s="3261"/>
      <c r="D9" s="3261"/>
      <c r="E9" s="3261"/>
      <c r="F9" s="3259"/>
      <c r="G9" s="3259"/>
    </row>
    <row r="10" spans="1:10" ht="16.5">
      <c r="A10" s="3262" t="s">
        <v>2988</v>
      </c>
      <c r="B10" s="3264"/>
      <c r="C10" s="3261"/>
      <c r="D10" s="3261"/>
      <c r="E10" s="3261"/>
      <c r="F10" s="3259"/>
      <c r="G10" s="3259"/>
    </row>
    <row r="11" spans="1:10" ht="16.5">
      <c r="A11" s="3262" t="s">
        <v>3004</v>
      </c>
      <c r="B11" s="3264"/>
      <c r="C11" s="3261"/>
      <c r="D11" s="3261"/>
      <c r="E11" s="3261"/>
      <c r="F11" s="3259"/>
      <c r="G11" s="3259"/>
    </row>
    <row r="12" spans="1:10" ht="16.5">
      <c r="A12" s="3261"/>
      <c r="B12" s="3261"/>
      <c r="C12" s="3261"/>
      <c r="D12" s="3261"/>
      <c r="E12" s="3261"/>
      <c r="F12" s="3259"/>
      <c r="G12" s="3259"/>
    </row>
    <row r="13" spans="1:10" ht="33">
      <c r="A13" s="3267" t="s">
        <v>3003</v>
      </c>
      <c r="B13" s="3260" t="s">
        <v>3000</v>
      </c>
      <c r="C13" s="3260" t="s">
        <v>3002</v>
      </c>
      <c r="D13" s="3260" t="s">
        <v>3001</v>
      </c>
      <c r="E13" s="3262" t="s">
        <v>2993</v>
      </c>
      <c r="F13" s="3262" t="s">
        <v>2992</v>
      </c>
      <c r="G13" s="3260" t="s">
        <v>2986</v>
      </c>
      <c r="H13" s="3260" t="s">
        <v>2997</v>
      </c>
      <c r="I13" s="3260" t="s">
        <v>2985</v>
      </c>
      <c r="J13" s="3259"/>
    </row>
    <row r="14" spans="1:10" ht="16.5">
      <c r="A14" s="3258" t="s">
        <v>2984</v>
      </c>
      <c r="B14" s="3260">
        <f>'数据-汇总表'!E3</f>
        <v>20083.5</v>
      </c>
      <c r="C14" s="3260">
        <f>'数据-汇总表'!D3</f>
        <v>52242.5</v>
      </c>
      <c r="D14" s="3260">
        <f ca="1">结果表!H118</f>
        <v>5173</v>
      </c>
      <c r="E14" s="3260">
        <f ca="1">ROUND(D14*10000/B14,0)</f>
        <v>2576</v>
      </c>
      <c r="F14" s="3260">
        <f ca="1">ROUND(D14*10000/C14,0)</f>
        <v>990</v>
      </c>
      <c r="G14" s="3260">
        <f ca="1">结果表!D122</f>
        <v>5173</v>
      </c>
      <c r="H14" s="3260" t="str">
        <f>结果表!D124</f>
        <v>——</v>
      </c>
      <c r="I14" s="3260" t="str">
        <f>结果表!D126</f>
        <v>——</v>
      </c>
      <c r="J14" s="3259"/>
    </row>
    <row r="15" spans="1:10" ht="16.5">
      <c r="A15" s="3258" t="s">
        <v>2983</v>
      </c>
      <c r="B15" s="3265">
        <v>2890.96</v>
      </c>
      <c r="C15" s="3265">
        <v>16153.7</v>
      </c>
      <c r="D15" s="3265">
        <v>796</v>
      </c>
      <c r="E15" s="3260">
        <f t="shared" ref="E15:E23" si="0">ROUND(D15*10000/B15,0)</f>
        <v>2753</v>
      </c>
      <c r="F15" s="3260">
        <f t="shared" ref="F15:F23" si="1">ROUND(D15*10000/C15,0)</f>
        <v>493</v>
      </c>
      <c r="G15" s="3266"/>
      <c r="H15" s="3266"/>
      <c r="I15" s="3265"/>
      <c r="J15" s="3259"/>
    </row>
    <row r="16" spans="1:10" ht="16.5">
      <c r="A16" s="3258" t="s">
        <v>2982</v>
      </c>
      <c r="B16" s="3265">
        <v>2817.37</v>
      </c>
      <c r="C16" s="3265">
        <v>8260.4</v>
      </c>
      <c r="D16" s="3265">
        <v>633</v>
      </c>
      <c r="E16" s="3260">
        <f t="shared" si="0"/>
        <v>2247</v>
      </c>
      <c r="F16" s="3260">
        <f t="shared" si="1"/>
        <v>766</v>
      </c>
      <c r="G16" s="3266"/>
      <c r="H16" s="3266"/>
      <c r="I16" s="3265"/>
    </row>
    <row r="17" spans="1:9" ht="16.5">
      <c r="A17" s="3258" t="s">
        <v>2981</v>
      </c>
      <c r="B17" s="3265"/>
      <c r="C17" s="3265"/>
      <c r="D17" s="3265"/>
      <c r="E17" s="3260" t="e">
        <f t="shared" si="0"/>
        <v>#DIV/0!</v>
      </c>
      <c r="F17" s="3260" t="e">
        <f t="shared" si="1"/>
        <v>#DIV/0!</v>
      </c>
      <c r="G17" s="3266"/>
      <c r="H17" s="3266"/>
      <c r="I17" s="3265"/>
    </row>
    <row r="18" spans="1:9" ht="16.5">
      <c r="A18" s="3258" t="s">
        <v>2980</v>
      </c>
      <c r="B18" s="3265"/>
      <c r="C18" s="3265"/>
      <c r="D18" s="3265"/>
      <c r="E18" s="3260" t="e">
        <f t="shared" si="0"/>
        <v>#DIV/0!</v>
      </c>
      <c r="F18" s="3260" t="e">
        <f t="shared" si="1"/>
        <v>#DIV/0!</v>
      </c>
      <c r="G18" s="3265"/>
      <c r="H18" s="3265"/>
      <c r="I18" s="3265"/>
    </row>
    <row r="19" spans="1:9" ht="16.5">
      <c r="A19" s="3258" t="s">
        <v>2979</v>
      </c>
      <c r="B19" s="3265"/>
      <c r="C19" s="3265"/>
      <c r="D19" s="3265"/>
      <c r="E19" s="3260" t="e">
        <f t="shared" si="0"/>
        <v>#DIV/0!</v>
      </c>
      <c r="F19" s="3260" t="e">
        <f t="shared" si="1"/>
        <v>#DIV/0!</v>
      </c>
      <c r="G19" s="3265"/>
      <c r="H19" s="3265"/>
      <c r="I19" s="3265"/>
    </row>
    <row r="20" spans="1:9" ht="16.5">
      <c r="A20" s="3258" t="s">
        <v>2978</v>
      </c>
      <c r="B20" s="3265"/>
      <c r="C20" s="3265"/>
      <c r="D20" s="3265"/>
      <c r="E20" s="3260" t="e">
        <f t="shared" si="0"/>
        <v>#DIV/0!</v>
      </c>
      <c r="F20" s="3260" t="e">
        <f t="shared" si="1"/>
        <v>#DIV/0!</v>
      </c>
      <c r="G20" s="3265"/>
      <c r="H20" s="3265"/>
      <c r="I20" s="3265"/>
    </row>
    <row r="21" spans="1:9" ht="16.5">
      <c r="A21" s="3258" t="s">
        <v>2977</v>
      </c>
      <c r="B21" s="3265"/>
      <c r="C21" s="3265"/>
      <c r="D21" s="3265"/>
      <c r="E21" s="3260" t="e">
        <f t="shared" si="0"/>
        <v>#DIV/0!</v>
      </c>
      <c r="F21" s="3260" t="e">
        <f t="shared" si="1"/>
        <v>#DIV/0!</v>
      </c>
      <c r="G21" s="3265"/>
      <c r="H21" s="3265"/>
      <c r="I21" s="3265"/>
    </row>
    <row r="22" spans="1:9" ht="16.5">
      <c r="A22" s="3258" t="s">
        <v>2976</v>
      </c>
      <c r="B22" s="3265"/>
      <c r="C22" s="3265"/>
      <c r="D22" s="3265"/>
      <c r="E22" s="3260" t="e">
        <f t="shared" si="0"/>
        <v>#DIV/0!</v>
      </c>
      <c r="F22" s="3260" t="e">
        <f t="shared" si="1"/>
        <v>#DIV/0!</v>
      </c>
      <c r="G22" s="3265"/>
      <c r="H22" s="3265"/>
      <c r="I22" s="3265"/>
    </row>
    <row r="23" spans="1:9" ht="16.5">
      <c r="A23" s="3258" t="s">
        <v>2975</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 zoomScaleNormal="100" zoomScaleSheetLayoutView="100" zoomScalePageLayoutView="80" workbookViewId="0">
      <selection activeCell="K27" sqref="K27"/>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765</v>
      </c>
      <c r="B1" s="1243"/>
      <c r="C1" s="2100" t="s">
        <v>3169</v>
      </c>
      <c r="D1" s="1243"/>
      <c r="E1" s="1243"/>
      <c r="F1" s="2084" t="s">
        <v>2119</v>
      </c>
      <c r="G1" s="2057" t="s">
        <v>3177</v>
      </c>
      <c r="H1" s="2113" t="str">
        <f>IF(G1="现房","——","估价对象范围")</f>
        <v>——</v>
      </c>
      <c r="I1" s="2090" t="s">
        <v>3178</v>
      </c>
    </row>
    <row r="2" spans="1:12" ht="21.75" customHeight="1" thickBot="1">
      <c r="A2" s="3509" t="str">
        <f>项目基本情况!S2</f>
        <v>房地产</v>
      </c>
      <c r="B2" s="3510"/>
      <c r="C2" s="3510"/>
      <c r="D2" s="3510"/>
      <c r="E2" s="3510"/>
      <c r="F2" s="3510"/>
      <c r="G2" s="3510"/>
      <c r="H2" s="3510"/>
      <c r="I2" s="3511"/>
    </row>
    <row r="3" spans="1:12" ht="12">
      <c r="A3" s="3513" t="s">
        <v>10</v>
      </c>
      <c r="B3" s="3514"/>
      <c r="C3" s="3514"/>
      <c r="D3" s="3514"/>
      <c r="E3" s="3514"/>
      <c r="F3" s="3514"/>
      <c r="G3" s="3514"/>
      <c r="H3" s="3514"/>
      <c r="I3" s="3514"/>
    </row>
    <row r="4" spans="1:12" ht="13.5">
      <c r="A4" s="429" t="s">
        <v>11</v>
      </c>
      <c r="B4" s="430" t="s">
        <v>12</v>
      </c>
      <c r="C4" s="431" t="s">
        <v>3176</v>
      </c>
      <c r="D4" s="431" t="s">
        <v>3171</v>
      </c>
      <c r="E4" s="3515" t="s">
        <v>766</v>
      </c>
      <c r="F4" s="3516"/>
      <c r="G4" s="3516"/>
      <c r="H4" s="3516"/>
      <c r="I4" s="3517"/>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82" t="s">
        <v>13</v>
      </c>
      <c r="B5" s="3512">
        <v>25</v>
      </c>
      <c r="C5" s="3500"/>
      <c r="D5" s="3500"/>
      <c r="E5" s="471" t="s">
        <v>810</v>
      </c>
      <c r="F5" s="432"/>
      <c r="G5" s="432"/>
      <c r="H5" s="432"/>
      <c r="I5" s="433"/>
    </row>
    <row r="6" spans="1:12" ht="12.75" customHeight="1">
      <c r="A6" s="3482"/>
      <c r="B6" s="3512"/>
      <c r="C6" s="3501"/>
      <c r="D6" s="3501"/>
      <c r="E6" s="471" t="s">
        <v>811</v>
      </c>
      <c r="F6" s="432"/>
      <c r="G6" s="432"/>
      <c r="H6" s="432"/>
      <c r="I6" s="433"/>
    </row>
    <row r="7" spans="1:12" ht="12.75" customHeight="1">
      <c r="A7" s="3482"/>
      <c r="B7" s="3512"/>
      <c r="C7" s="3502"/>
      <c r="D7" s="3502"/>
      <c r="E7" s="471" t="s">
        <v>812</v>
      </c>
      <c r="F7" s="432"/>
      <c r="G7" s="432"/>
      <c r="H7" s="432"/>
      <c r="I7" s="433"/>
    </row>
    <row r="8" spans="1:12" ht="12.75" customHeight="1">
      <c r="A8" s="3482" t="s">
        <v>14</v>
      </c>
      <c r="B8" s="3512">
        <v>15</v>
      </c>
      <c r="C8" s="3500"/>
      <c r="D8" s="3500"/>
      <c r="E8" s="471" t="s">
        <v>813</v>
      </c>
      <c r="F8" s="432"/>
      <c r="G8" s="432"/>
      <c r="H8" s="432"/>
      <c r="I8" s="433"/>
    </row>
    <row r="9" spans="1:12" ht="12.75" customHeight="1">
      <c r="A9" s="3482"/>
      <c r="B9" s="3512"/>
      <c r="C9" s="3502"/>
      <c r="D9" s="3502"/>
      <c r="E9" s="471" t="s">
        <v>814</v>
      </c>
      <c r="F9" s="432"/>
      <c r="G9" s="432"/>
      <c r="H9" s="432"/>
      <c r="I9" s="433"/>
    </row>
    <row r="10" spans="1:12" ht="12.75" customHeight="1">
      <c r="A10" s="3482" t="s">
        <v>15</v>
      </c>
      <c r="B10" s="3512">
        <v>15</v>
      </c>
      <c r="C10" s="3500"/>
      <c r="D10" s="3500"/>
      <c r="E10" s="471" t="s">
        <v>815</v>
      </c>
      <c r="F10" s="432"/>
      <c r="G10" s="432"/>
      <c r="H10" s="432"/>
      <c r="I10" s="433"/>
    </row>
    <row r="11" spans="1:12" ht="12.75" customHeight="1">
      <c r="A11" s="3482"/>
      <c r="B11" s="3512"/>
      <c r="C11" s="3502"/>
      <c r="D11" s="3502"/>
      <c r="E11" s="471" t="s">
        <v>816</v>
      </c>
      <c r="F11" s="432"/>
      <c r="G11" s="432"/>
      <c r="H11" s="432"/>
      <c r="I11" s="433"/>
    </row>
    <row r="12" spans="1:12" ht="12.75" customHeight="1">
      <c r="A12" s="3482" t="s">
        <v>16</v>
      </c>
      <c r="B12" s="3512">
        <v>15</v>
      </c>
      <c r="C12" s="3500"/>
      <c r="D12" s="3500"/>
      <c r="E12" s="471" t="s">
        <v>817</v>
      </c>
      <c r="F12" s="432"/>
      <c r="G12" s="432"/>
      <c r="H12" s="432"/>
      <c r="I12" s="433"/>
    </row>
    <row r="13" spans="1:12" ht="12.75" customHeight="1">
      <c r="A13" s="3482"/>
      <c r="B13" s="3512"/>
      <c r="C13" s="3502"/>
      <c r="D13" s="3502"/>
      <c r="E13" s="471" t="s">
        <v>818</v>
      </c>
      <c r="F13" s="432"/>
      <c r="G13" s="432"/>
      <c r="H13" s="432"/>
      <c r="I13" s="433"/>
    </row>
    <row r="14" spans="1:12" ht="12.75" customHeight="1">
      <c r="A14" s="3482" t="s">
        <v>17</v>
      </c>
      <c r="B14" s="3512">
        <v>30</v>
      </c>
      <c r="C14" s="3500">
        <v>10</v>
      </c>
      <c r="D14" s="3500">
        <v>0</v>
      </c>
      <c r="E14" s="471" t="s">
        <v>819</v>
      </c>
      <c r="F14" s="432"/>
      <c r="G14" s="432"/>
      <c r="H14" s="432"/>
      <c r="I14" s="433"/>
    </row>
    <row r="15" spans="1:12" ht="12.75" customHeight="1">
      <c r="A15" s="3482"/>
      <c r="B15" s="3512"/>
      <c r="C15" s="3501"/>
      <c r="D15" s="3501"/>
      <c r="E15" s="471" t="s">
        <v>820</v>
      </c>
      <c r="F15" s="432"/>
      <c r="G15" s="432"/>
      <c r="H15" s="432"/>
      <c r="I15" s="433"/>
    </row>
    <row r="16" spans="1:12" ht="12.75" customHeight="1">
      <c r="A16" s="3482"/>
      <c r="B16" s="3512"/>
      <c r="C16" s="3502"/>
      <c r="D16" s="3502"/>
      <c r="E16" s="471" t="s">
        <v>821</v>
      </c>
      <c r="F16" s="432"/>
      <c r="G16" s="432"/>
      <c r="H16" s="432"/>
      <c r="I16" s="433"/>
    </row>
    <row r="17" spans="1:35" ht="14.25">
      <c r="A17" s="434" t="s">
        <v>18</v>
      </c>
      <c r="B17" s="38"/>
      <c r="C17" s="472">
        <f>SUM(C5:C16)</f>
        <v>10</v>
      </c>
      <c r="D17" s="472">
        <f>SUM(D5:D16)</f>
        <v>0</v>
      </c>
      <c r="E17" s="2279"/>
      <c r="F17" s="2279"/>
      <c r="G17" s="2279"/>
      <c r="H17" s="2279"/>
      <c r="I17" s="2279"/>
      <c r="K17" s="2186"/>
      <c r="L17" s="2187" t="s">
        <v>2327</v>
      </c>
      <c r="M17" s="2187" t="s">
        <v>2328</v>
      </c>
    </row>
    <row r="18" spans="1:35" ht="15" thickBot="1">
      <c r="A18" s="435" t="s">
        <v>19</v>
      </c>
      <c r="B18" s="18"/>
      <c r="C18" s="473">
        <f>ROUND(C17/SUM(C17:D17),2)</f>
        <v>1</v>
      </c>
      <c r="D18" s="473">
        <f>1-C18</f>
        <v>0</v>
      </c>
      <c r="E18" s="2279"/>
      <c r="F18" s="2279"/>
      <c r="G18" s="2279"/>
      <c r="H18" s="2279"/>
      <c r="I18" s="2279"/>
      <c r="K18" s="2186" t="s">
        <v>2141</v>
      </c>
      <c r="L18" s="2186">
        <f>IF(C1="",'数据-汇总表'!E3,SUMIF(项目类型,C1,'数据-汇总表'!E17:E26)+SUMIF(项目类型,C1,'数据-汇总表'!I17:I26))</f>
        <v>20083.5</v>
      </c>
      <c r="M18" s="2186">
        <f>IF(C1="",'数据-汇总表'!E3,SUMIF(项目类型,C1,'数据-汇总表'!E17:E26))</f>
        <v>20083.5</v>
      </c>
    </row>
    <row r="19" spans="1:35" ht="14.25">
      <c r="A19" s="436" t="s">
        <v>180</v>
      </c>
      <c r="B19" s="437" t="s">
        <v>20</v>
      </c>
      <c r="C19" s="474">
        <f ca="1">SUMIF(INDIRECT("'"&amp;C4&amp;"'"&amp;"!A:A"),结果表!B19,INDIRECT("'"&amp;C4&amp;"'"&amp;"!B:B"))</f>
        <v>5173</v>
      </c>
      <c r="D19" s="475">
        <f ca="1">SUMIF(INDIRECT("'"&amp;D4&amp;"'"&amp;"!A:A"),结果表!B19,INDIRECT("'"&amp;D4&amp;"'"&amp;"!B:B"))</f>
        <v>5818</v>
      </c>
      <c r="E19" s="436" t="s">
        <v>179</v>
      </c>
      <c r="F19" s="437" t="s">
        <v>20</v>
      </c>
      <c r="G19" s="476">
        <f ca="1">ROUND(C19*$C$18+D19*$D$18,0)</f>
        <v>5173</v>
      </c>
      <c r="H19" s="438" t="s">
        <v>228</v>
      </c>
      <c r="I19" s="2279"/>
      <c r="K19" s="2186" t="s">
        <v>2142</v>
      </c>
      <c r="L19" s="2186">
        <f>IF(C1="",'数据-汇总表'!D3,SUMIF(项目类型,C1,'数据-汇总表'!D17:D26)+SUMIF(项目类型,C1,'数据-汇总表'!H17:H27))</f>
        <v>52242.5</v>
      </c>
      <c r="M19" s="2186">
        <f>IF(C1="",'数据-汇总表'!D3,SUMIF(项目类型,C1,'数据-汇总表'!D17:D26))</f>
        <v>52242.5</v>
      </c>
    </row>
    <row r="20" spans="1:35" ht="14.25">
      <c r="A20" s="439"/>
      <c r="B20" s="440" t="s">
        <v>21</v>
      </c>
      <c r="C20" s="477">
        <f ca="1">SUMIF(INDIRECT("'"&amp;C4&amp;"'"&amp;"!A:A"),结果表!B20,INDIRECT("'"&amp;C4&amp;"'"&amp;"!B:B"))</f>
        <v>2576</v>
      </c>
      <c r="D20" s="478">
        <f ca="1">SUMIF(INDIRECT("'"&amp;D4&amp;"'"&amp;"!A:A"),结果表!B20,INDIRECT("'"&amp;D4&amp;"'"&amp;"!B:B"))</f>
        <v>2897</v>
      </c>
      <c r="E20" s="439"/>
      <c r="F20" s="440" t="s">
        <v>21</v>
      </c>
      <c r="G20" s="479">
        <f ca="1">ROUND(C20*$C$18+D20*$D$18,0)</f>
        <v>2576</v>
      </c>
      <c r="H20" s="441" t="s">
        <v>227</v>
      </c>
      <c r="I20" s="2279"/>
    </row>
    <row r="21" spans="1:35" ht="15" customHeight="1" thickBot="1">
      <c r="A21" s="443"/>
      <c r="B21" s="444" t="s">
        <v>22</v>
      </c>
      <c r="C21" s="1422">
        <f ca="1">ROUND(C19*10000/L19,0)</f>
        <v>990</v>
      </c>
      <c r="D21" s="1423">
        <f ca="1">ROUND(D19*10000/L19,0)</f>
        <v>1114</v>
      </c>
      <c r="E21" s="443"/>
      <c r="F21" s="444" t="s">
        <v>22</v>
      </c>
      <c r="G21" s="480">
        <f ca="1">ROUND(G19*10000/L19,0)</f>
        <v>990</v>
      </c>
      <c r="H21" s="445" t="s">
        <v>227</v>
      </c>
      <c r="I21" s="2279"/>
    </row>
    <row r="22" spans="1:35" ht="15" thickBot="1">
      <c r="A22" s="275" t="s">
        <v>181</v>
      </c>
      <c r="B22" s="1424"/>
      <c r="C22" s="1425"/>
      <c r="D22" s="1426">
        <f ca="1">IF(C19&lt;D19,D19/C19-1,C19/D19-1)</f>
        <v>0.12468586893485401</v>
      </c>
      <c r="E22" s="2279"/>
      <c r="F22" s="2279"/>
      <c r="G22" s="2279"/>
      <c r="H22" s="2279"/>
      <c r="I22" s="2279"/>
    </row>
    <row r="23" spans="1:35" ht="12.75" thickBot="1">
      <c r="A23" s="1243"/>
      <c r="B23" s="1243"/>
      <c r="C23" s="1243"/>
      <c r="D23" s="1243"/>
      <c r="E23" s="2279"/>
      <c r="F23" s="2279"/>
      <c r="G23" s="2279"/>
      <c r="H23" s="2279"/>
      <c r="I23" s="2279"/>
    </row>
    <row r="24" spans="1:35" ht="14.25">
      <c r="A24" s="3524" t="s">
        <v>177</v>
      </c>
      <c r="B24" s="437" t="s">
        <v>20</v>
      </c>
      <c r="C24" s="476">
        <f>IF(B30=0,0,D30)</f>
        <v>0</v>
      </c>
      <c r="D24" s="446"/>
      <c r="E24" s="2279"/>
      <c r="F24" s="2279"/>
      <c r="G24" s="2279"/>
      <c r="H24" s="2279"/>
      <c r="I24" s="2279"/>
    </row>
    <row r="25" spans="1:35" ht="14.25">
      <c r="A25" s="3525"/>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5173</v>
      </c>
      <c r="D32" s="2094" t="s">
        <v>210</v>
      </c>
      <c r="E32" s="2279"/>
      <c r="F32" s="2279"/>
      <c r="G32" s="2279"/>
      <c r="H32" s="2279"/>
      <c r="I32" s="2279"/>
    </row>
    <row r="33" spans="1:15" ht="13.5">
      <c r="A33" s="457" t="s">
        <v>767</v>
      </c>
      <c r="B33" s="2093"/>
      <c r="C33" s="2879" t="s">
        <v>3204</v>
      </c>
      <c r="D33" s="2882" t="s">
        <v>3176</v>
      </c>
      <c r="E33" s="2091" t="s">
        <v>2121</v>
      </c>
      <c r="F33" s="2092" t="str">
        <f>IF(D32="楼面单价","取值（单价）","取值（总价）")</f>
        <v>取值（总价）</v>
      </c>
      <c r="G33" s="2279"/>
      <c r="H33" s="2279"/>
      <c r="I33" s="2279"/>
    </row>
    <row r="34" spans="1:15" ht="15">
      <c r="A34" s="458"/>
      <c r="B34" s="459" t="s">
        <v>770</v>
      </c>
      <c r="C34" s="489">
        <f ca="1">IF(C33="自定义",F34,C32-C35)</f>
        <v>921</v>
      </c>
      <c r="D34" s="2095">
        <f ca="1">IF(C33="自定义",ROUND(C34/C32,3),IF(C33="收益比率",SUMIF(INDIRECT("'"&amp;D33&amp;"'"&amp;"!b:b"),"土地收益比率",INDIRECT("'"&amp;D33&amp;"'"&amp;"!c:c")),SUMIF(INDIRECT("'"&amp;D33&amp;"'"&amp;"!b:b"),"土地成本比率",INDIRECT("'"&amp;D33&amp;"'"&amp;"!c:c"))))</f>
        <v>0.17800000000000005</v>
      </c>
      <c r="E34" s="2880" t="s">
        <v>2122</v>
      </c>
      <c r="F34" s="3255"/>
      <c r="G34" s="2279"/>
      <c r="H34" s="2279"/>
      <c r="I34" s="2279"/>
    </row>
    <row r="35" spans="1:15" ht="15.75" thickBot="1">
      <c r="A35" s="461"/>
      <c r="B35" s="2883" t="s">
        <v>772</v>
      </c>
      <c r="C35" s="2884">
        <f ca="1">IF(C33="自定义",F35,ROUND(C32*D35,0))</f>
        <v>4252</v>
      </c>
      <c r="D35" s="2885">
        <f ca="1">IF(C33="自定义",ROUND(C35/C32,3),IF(C33="收益比率",SUMIF(INDIRECT("'"&amp;D33&amp;"'"&amp;"!b:b"),"建筑物收益比率",INDIRECT("'"&amp;D33&amp;"'"&amp;"!c:c")),SUMIF(INDIRECT("'"&amp;D33&amp;"'"&amp;"!b:b"),"建筑物成本比率",INDIRECT("'"&amp;D33&amp;"'"&amp;"!c:c"))))</f>
        <v>0.82199999999999995</v>
      </c>
      <c r="E35" s="2881" t="s">
        <v>2123</v>
      </c>
      <c r="F35" s="495"/>
      <c r="G35" s="2279"/>
      <c r="H35" s="2279"/>
      <c r="I35" s="2279"/>
    </row>
    <row r="36" spans="1:15" ht="15.75" thickBot="1">
      <c r="A36" s="3503" t="s">
        <v>768</v>
      </c>
      <c r="B36" s="455" t="s">
        <v>769</v>
      </c>
      <c r="C36" s="486"/>
      <c r="D36" s="456"/>
      <c r="E36" s="1246"/>
      <c r="F36" s="2280"/>
      <c r="G36" s="2279"/>
      <c r="H36" s="2279"/>
      <c r="I36" s="2279"/>
    </row>
    <row r="37" spans="1:15" ht="15.75" thickBot="1">
      <c r="A37" s="3504"/>
      <c r="B37" s="13" t="s">
        <v>771</v>
      </c>
      <c r="C37" s="488"/>
      <c r="D37" s="2228"/>
      <c r="E37" s="2228"/>
      <c r="F37" s="2280"/>
      <c r="G37" s="2279"/>
      <c r="H37" s="2279"/>
      <c r="I37" s="2279"/>
    </row>
    <row r="38" spans="1:15" ht="15.75" thickBot="1">
      <c r="A38" s="3505"/>
      <c r="B38" s="460" t="s">
        <v>773</v>
      </c>
      <c r="C38" s="1137"/>
      <c r="D38" s="1247" t="s">
        <v>774</v>
      </c>
      <c r="E38" s="2228"/>
      <c r="F38" s="2280"/>
      <c r="G38" s="2279"/>
      <c r="H38" s="2279"/>
      <c r="I38" s="2279"/>
    </row>
    <row r="39" spans="1:15" ht="13.5">
      <c r="A39" s="439" t="s">
        <v>775</v>
      </c>
      <c r="B39" s="462" t="s">
        <v>776</v>
      </c>
      <c r="C39" s="463" t="s">
        <v>777</v>
      </c>
      <c r="D39" s="463" t="s">
        <v>778</v>
      </c>
      <c r="E39" s="464" t="s">
        <v>779</v>
      </c>
      <c r="F39" s="2280"/>
      <c r="G39" s="2279"/>
      <c r="H39" s="2279"/>
      <c r="I39" s="2279"/>
    </row>
    <row r="40" spans="1:15" ht="13.5">
      <c r="A40" s="1248" t="s">
        <v>780</v>
      </c>
      <c r="B40" s="490"/>
      <c r="C40" s="491"/>
      <c r="D40" s="491"/>
      <c r="E40" s="492"/>
      <c r="F40" s="2280"/>
      <c r="G40" s="2279"/>
      <c r="H40" s="2279"/>
      <c r="I40" s="2279"/>
    </row>
    <row r="41" spans="1:15" ht="13.5">
      <c r="A41" s="1248" t="s">
        <v>781</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782</v>
      </c>
      <c r="B44" s="1253"/>
      <c r="C44" s="1253"/>
      <c r="D44" s="1254"/>
      <c r="E44" s="1254"/>
      <c r="F44" s="1255"/>
      <c r="G44" s="1255"/>
      <c r="H44" s="1255"/>
      <c r="I44" s="1255"/>
      <c r="J44" s="3272" t="s">
        <v>214</v>
      </c>
      <c r="K44" s="3273"/>
      <c r="L44" s="3273"/>
      <c r="M44" s="3273"/>
      <c r="N44" s="3273"/>
      <c r="O44" s="3273"/>
    </row>
    <row r="45" spans="1:15" ht="14.25" customHeight="1" thickBot="1">
      <c r="A45" s="3521" t="s">
        <v>802</v>
      </c>
      <c r="B45" s="3522"/>
      <c r="C45" s="3523"/>
      <c r="D45" s="496">
        <f ca="1">ROUND(H101*F45,0)</f>
        <v>5173</v>
      </c>
      <c r="E45" s="497" t="s">
        <v>803</v>
      </c>
      <c r="F45" s="498">
        <v>1</v>
      </c>
      <c r="G45" s="499" t="s">
        <v>804</v>
      </c>
      <c r="H45" s="2279"/>
      <c r="I45" s="2279"/>
      <c r="J45" s="3432" t="s">
        <v>215</v>
      </c>
      <c r="K45" s="3432"/>
      <c r="L45" s="3432"/>
      <c r="M45" s="3432"/>
      <c r="N45" s="3432"/>
      <c r="O45" s="3432"/>
    </row>
    <row r="46" spans="1:15" ht="14.25" customHeight="1">
      <c r="A46" s="3518" t="s">
        <v>287</v>
      </c>
      <c r="B46" s="3519"/>
      <c r="C46" s="3519"/>
      <c r="D46" s="3519"/>
      <c r="E46" s="3519"/>
      <c r="F46" s="3519"/>
      <c r="G46" s="3520"/>
      <c r="H46" s="2281"/>
      <c r="I46" s="2234"/>
      <c r="J46" s="1501">
        <v>1</v>
      </c>
      <c r="K46" s="3432" t="s">
        <v>216</v>
      </c>
      <c r="L46" s="3432"/>
      <c r="M46" s="3433"/>
      <c r="N46" s="3433"/>
      <c r="O46" s="3433"/>
    </row>
    <row r="47" spans="1:15" ht="12" customHeight="1">
      <c r="A47" s="501" t="s">
        <v>288</v>
      </c>
      <c r="B47" s="502"/>
      <c r="C47" s="503"/>
      <c r="D47" s="504" t="s">
        <v>289</v>
      </c>
      <c r="E47" s="313" t="s">
        <v>290</v>
      </c>
      <c r="F47" s="505" t="s">
        <v>805</v>
      </c>
      <c r="G47" s="506" t="s">
        <v>806</v>
      </c>
      <c r="H47" s="2281"/>
      <c r="I47" s="2234"/>
      <c r="J47" s="1501">
        <v>2</v>
      </c>
      <c r="K47" s="3432" t="s">
        <v>217</v>
      </c>
      <c r="L47" s="3432"/>
      <c r="M47" s="3434">
        <f>'数据-取费表'!B2</f>
        <v>42921</v>
      </c>
      <c r="N47" s="3434"/>
      <c r="O47" s="3434"/>
    </row>
    <row r="48" spans="1:15" ht="25.5">
      <c r="A48" s="3507" t="s">
        <v>291</v>
      </c>
      <c r="B48" s="3508"/>
      <c r="C48" s="3508"/>
      <c r="D48" s="471">
        <f>IF(H48="情况1",0,IF(H48="情况2",D52,IF(H48="情况3",D53,IF(H48="情况4",D54))))</f>
        <v>0</v>
      </c>
      <c r="E48" s="1925" t="str">
        <f>IF(H48="情况4","(销售额-原购置价)×税（费）率","销售额×税（费）率")</f>
        <v>销售额×税（费）率</v>
      </c>
      <c r="F48" s="507" t="str">
        <f>IF(H48="情况1","免征",'数据-取费表'!B41)</f>
        <v>免征</v>
      </c>
      <c r="G48" s="465" t="s">
        <v>783</v>
      </c>
      <c r="H48" s="1432" t="s">
        <v>2425</v>
      </c>
      <c r="I48" s="2281"/>
      <c r="J48" s="1501">
        <v>3</v>
      </c>
      <c r="K48" s="3432" t="s">
        <v>784</v>
      </c>
      <c r="L48" s="3432"/>
      <c r="M48" s="3435">
        <f ca="1">H101</f>
        <v>5173</v>
      </c>
      <c r="N48" s="3435"/>
      <c r="O48" s="3435"/>
    </row>
    <row r="49" spans="1:35" ht="25.5" customHeight="1">
      <c r="A49" s="508" t="s">
        <v>807</v>
      </c>
      <c r="B49" s="3485" t="s">
        <v>808</v>
      </c>
      <c r="C49" s="3485"/>
      <c r="D49" s="509">
        <v>0</v>
      </c>
      <c r="E49" s="312" t="s">
        <v>809</v>
      </c>
      <c r="F49" s="317" t="s">
        <v>171</v>
      </c>
      <c r="G49" s="3464"/>
      <c r="H49" s="2279"/>
      <c r="I49" s="2282"/>
      <c r="J49" s="1501">
        <v>4</v>
      </c>
      <c r="K49" s="3432" t="str">
        <f>IF(项目基本情况!E8="房地产抵押价值","房地产抵押价值","抵押担保权已注销时的房地产抵押价值")</f>
        <v>抵押担保权已注销时的房地产抵押价值</v>
      </c>
      <c r="L49" s="3432"/>
      <c r="M49" s="3435" t="str">
        <f>IF(项目基本情况!E8="房地产抵押价值",H107,H109)</f>
        <v>——</v>
      </c>
      <c r="N49" s="3435"/>
      <c r="O49" s="3435"/>
    </row>
    <row r="50" spans="1:35" ht="25.5" customHeight="1">
      <c r="A50" s="510"/>
      <c r="B50" s="3485" t="s">
        <v>294</v>
      </c>
      <c r="C50" s="3485"/>
      <c r="D50" s="511"/>
      <c r="E50" s="320"/>
      <c r="F50" s="512"/>
      <c r="G50" s="3465"/>
      <c r="H50" s="2279"/>
      <c r="I50" s="2282"/>
      <c r="J50" s="3432" t="s">
        <v>218</v>
      </c>
      <c r="K50" s="3432"/>
      <c r="L50" s="3432"/>
      <c r="M50" s="3432"/>
      <c r="N50" s="3432"/>
      <c r="O50" s="3432"/>
    </row>
    <row r="51" spans="1:35" ht="12" customHeight="1">
      <c r="A51" s="513"/>
      <c r="B51" s="3485" t="s">
        <v>295</v>
      </c>
      <c r="C51" s="3485"/>
      <c r="D51" s="514"/>
      <c r="E51" s="319"/>
      <c r="F51" s="512"/>
      <c r="G51" s="3466"/>
      <c r="H51" s="2279"/>
      <c r="I51" s="2282"/>
      <c r="J51" s="3274" t="s">
        <v>219</v>
      </c>
      <c r="K51" s="3432" t="s">
        <v>220</v>
      </c>
      <c r="L51" s="3432"/>
      <c r="M51" s="3274" t="s">
        <v>3012</v>
      </c>
      <c r="N51" s="3274" t="s">
        <v>221</v>
      </c>
      <c r="O51" s="3274" t="s">
        <v>222</v>
      </c>
    </row>
    <row r="52" spans="1:35" ht="24" customHeight="1">
      <c r="A52" s="515" t="s">
        <v>296</v>
      </c>
      <c r="B52" s="3485" t="s">
        <v>297</v>
      </c>
      <c r="C52" s="3485"/>
      <c r="D52" s="514">
        <f ca="1">ROUND(D45*'数据-取费表'!B41/(1+'数据-取费表'!C42),0)</f>
        <v>271</v>
      </c>
      <c r="E52" s="299" t="s">
        <v>298</v>
      </c>
      <c r="F52" s="516">
        <f>'数据-取费表'!B41</f>
        <v>5.5000000000000007E-2</v>
      </c>
      <c r="G52" s="466"/>
      <c r="H52" s="2279"/>
      <c r="I52" s="2282"/>
      <c r="J52" s="1501">
        <v>1</v>
      </c>
      <c r="K52" s="3458" t="s">
        <v>785</v>
      </c>
      <c r="L52" s="3458"/>
      <c r="M52" s="3275">
        <f>D48</f>
        <v>0</v>
      </c>
      <c r="N52" s="1500" t="str">
        <f>E48</f>
        <v>销售额×税（费）率</v>
      </c>
      <c r="O52" s="3276" t="str">
        <f>F48</f>
        <v>免征</v>
      </c>
    </row>
    <row r="53" spans="1:35" ht="12" customHeight="1">
      <c r="A53" s="515" t="s">
        <v>299</v>
      </c>
      <c r="B53" s="3486" t="s">
        <v>300</v>
      </c>
      <c r="C53" s="3487"/>
      <c r="D53" s="514">
        <f ca="1">ROUND(D45*'数据-取费表'!B41/(1+'数据-取费表'!C42),0)</f>
        <v>271</v>
      </c>
      <c r="E53" s="299" t="s">
        <v>298</v>
      </c>
      <c r="F53" s="516">
        <f>'数据-取费表'!B41</f>
        <v>5.5000000000000007E-2</v>
      </c>
      <c r="G53" s="466"/>
      <c r="H53" s="2279"/>
      <c r="I53" s="2282"/>
      <c r="J53" s="1501">
        <v>2</v>
      </c>
      <c r="K53" s="3458" t="s">
        <v>786</v>
      </c>
      <c r="L53" s="3458"/>
      <c r="M53" s="3275">
        <f t="shared" ref="M53:O54" ca="1" si="0">D55</f>
        <v>3</v>
      </c>
      <c r="N53" s="1500" t="str">
        <f t="shared" si="0"/>
        <v>销售额×税（费）率</v>
      </c>
      <c r="O53" s="3276">
        <f t="shared" si="0"/>
        <v>5.0000000000000001E-4</v>
      </c>
    </row>
    <row r="54" spans="1:35" ht="12" customHeight="1">
      <c r="A54" s="515" t="s">
        <v>301</v>
      </c>
      <c r="B54" s="3486" t="s">
        <v>302</v>
      </c>
      <c r="C54" s="3487"/>
      <c r="D54" s="514">
        <f ca="1">C68</f>
        <v>271</v>
      </c>
      <c r="E54" s="319" t="s">
        <v>303</v>
      </c>
      <c r="F54" s="516">
        <f>'数据-取费表'!B41</f>
        <v>5.5000000000000007E-2</v>
      </c>
      <c r="G54" s="466"/>
      <c r="H54" s="2283"/>
      <c r="I54" s="2282"/>
      <c r="J54" s="1501">
        <v>3</v>
      </c>
      <c r="K54" s="3458" t="s">
        <v>787</v>
      </c>
      <c r="L54" s="3458"/>
      <c r="M54" s="3275">
        <f t="shared" ca="1" si="0"/>
        <v>2932</v>
      </c>
      <c r="N54" s="1500" t="str">
        <f t="shared" si="0"/>
        <v>增值额×税（费）率</v>
      </c>
      <c r="O54" s="3277" t="str">
        <f t="shared" si="0"/>
        <v>——</v>
      </c>
    </row>
    <row r="55" spans="1:35" ht="24" customHeight="1">
      <c r="A55" s="3527" t="s">
        <v>304</v>
      </c>
      <c r="B55" s="3508"/>
      <c r="C55" s="3508"/>
      <c r="D55" s="517">
        <f ca="1">IF(H55="个人住宅",0,ROUND(D45*I55,0))</f>
        <v>3</v>
      </c>
      <c r="E55" s="299" t="s">
        <v>305</v>
      </c>
      <c r="F55" s="516">
        <f>IF(H55="正常",I55,"免征")</f>
        <v>5.0000000000000001E-4</v>
      </c>
      <c r="G55" s="466"/>
      <c r="H55" s="1432" t="s">
        <v>155</v>
      </c>
      <c r="I55" s="518">
        <f>'数据-取费表'!B49</f>
        <v>5.0000000000000001E-4</v>
      </c>
      <c r="J55" s="1501" t="str">
        <f>IF(H59="非个人房产","",4)</f>
        <v/>
      </c>
      <c r="K55" s="3458" t="str">
        <f>IF(H59="非个人房产","——","个人所得税")</f>
        <v>——</v>
      </c>
      <c r="L55" s="3458"/>
      <c r="M55" s="3278" t="str">
        <f>D59</f>
        <v>——</v>
      </c>
      <c r="N55" s="3279" t="str">
        <f>E59</f>
        <v>——</v>
      </c>
      <c r="O55" s="3280" t="str">
        <f>F59</f>
        <v>——</v>
      </c>
    </row>
    <row r="56" spans="1:35" ht="24.75">
      <c r="A56" s="3527" t="s">
        <v>306</v>
      </c>
      <c r="B56" s="3508"/>
      <c r="C56" s="3508"/>
      <c r="D56" s="517">
        <f ca="1">IF(H56="个人住宅",D57,D58)</f>
        <v>2932</v>
      </c>
      <c r="E56" s="299" t="s">
        <v>307</v>
      </c>
      <c r="F56" s="516" t="str">
        <f>IF(H56="正常",F58,"免征")</f>
        <v>——</v>
      </c>
      <c r="G56" s="1256" t="s">
        <v>788</v>
      </c>
      <c r="H56" s="1431" t="s">
        <v>155</v>
      </c>
      <c r="I56" s="2284"/>
      <c r="J56" s="1501" t="str">
        <f>IF(项目基本情况!K6="上海银行",IF(J55="",4,J55+1),"")</f>
        <v/>
      </c>
      <c r="K56" s="3438" t="str">
        <f>IF(项目基本情况!K6="上海银行","其他处置费用","")</f>
        <v/>
      </c>
      <c r="L56" s="3439"/>
      <c r="M56" s="3275" t="str">
        <f>IF(项目基本情况!K6="上海银行",M69,"")</f>
        <v/>
      </c>
      <c r="N56" s="3441" t="str">
        <f>IF(项目基本情况!K6="上海银行","包含处置中涉及的律师、诉讼、拍卖、评估等费用","")</f>
        <v/>
      </c>
      <c r="O56" s="3442"/>
    </row>
    <row r="57" spans="1:35" ht="12.75">
      <c r="A57" s="515" t="s">
        <v>292</v>
      </c>
      <c r="B57" s="3491" t="s">
        <v>308</v>
      </c>
      <c r="C57" s="3492"/>
      <c r="D57" s="519">
        <v>0</v>
      </c>
      <c r="E57" s="312" t="s">
        <v>293</v>
      </c>
      <c r="F57" s="487"/>
      <c r="G57" s="466"/>
      <c r="H57" s="2284"/>
      <c r="I57" s="2284"/>
      <c r="J57" s="3470">
        <f>IF(AND(J55="",J56=""),4,IF(项目基本情况!K6="上海银行",结果表!J56+1,结果表!J55+1))</f>
        <v>4</v>
      </c>
      <c r="K57" s="3458" t="s">
        <v>789</v>
      </c>
      <c r="L57" s="3281" t="s">
        <v>223</v>
      </c>
      <c r="M57" s="3282"/>
      <c r="N57" s="3283">
        <f ca="1">SUMIF(M52:M56,"&lt;9e307")</f>
        <v>2935</v>
      </c>
      <c r="O57" s="3284"/>
      <c r="P57" s="3271" t="e">
        <f ca="1">N57/M49</f>
        <v>#VALUE!</v>
      </c>
    </row>
    <row r="58" spans="1:35" ht="24.75">
      <c r="A58" s="515" t="s">
        <v>296</v>
      </c>
      <c r="B58" s="3491" t="s">
        <v>309</v>
      </c>
      <c r="C58" s="3506"/>
      <c r="D58" s="517">
        <f ca="1">IF(H58="转让取得",C81,C97)</f>
        <v>2932</v>
      </c>
      <c r="E58" s="299" t="s">
        <v>307</v>
      </c>
      <c r="F58" s="313" t="s">
        <v>171</v>
      </c>
      <c r="G58" s="466"/>
      <c r="H58" s="1431" t="s">
        <v>1140</v>
      </c>
      <c r="I58" s="2284"/>
      <c r="J58" s="3470"/>
      <c r="K58" s="3458"/>
      <c r="L58" s="3281" t="s">
        <v>224</v>
      </c>
      <c r="M58" s="3285"/>
      <c r="N58" s="3286" t="str">
        <f ca="1">NUMBERSTRING(INT(N57*10000),2)&amp;"元整"</f>
        <v>贰仟玖佰叁拾伍万元整</v>
      </c>
      <c r="O58" s="3287"/>
    </row>
    <row r="59" spans="1:35" ht="24.75" thickBot="1">
      <c r="A59" s="3462" t="s">
        <v>310</v>
      </c>
      <c r="B59" s="3463"/>
      <c r="C59" s="3463"/>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60">
        <f>J57+1</f>
        <v>5</v>
      </c>
      <c r="K59" s="3458" t="s">
        <v>172</v>
      </c>
      <c r="L59" s="1500" t="s">
        <v>223</v>
      </c>
      <c r="M59" s="3288"/>
      <c r="N59" s="3289" t="e">
        <f ca="1">M49-N57</f>
        <v>#VALUE!</v>
      </c>
      <c r="O59" s="3290"/>
    </row>
    <row r="60" spans="1:35" ht="12" customHeight="1">
      <c r="A60" s="1258"/>
      <c r="B60" s="1243"/>
      <c r="C60" s="1243"/>
      <c r="D60" s="1243"/>
      <c r="E60" s="229"/>
      <c r="F60" s="2284"/>
      <c r="G60" s="2284"/>
      <c r="H60" s="2285"/>
      <c r="I60" s="2279"/>
      <c r="J60" s="3461"/>
      <c r="K60" s="3458"/>
      <c r="L60" s="3281" t="s">
        <v>224</v>
      </c>
      <c r="M60" s="3285"/>
      <c r="N60" s="3286" t="e">
        <f ca="1">NUMBERSTRING(INT(N59*10000),2)&amp;"元整"</f>
        <v>#VALUE!</v>
      </c>
      <c r="O60" s="3287"/>
    </row>
    <row r="61" spans="1:35" ht="13.5" thickBot="1">
      <c r="A61" s="3526" t="s">
        <v>311</v>
      </c>
      <c r="B61" s="3526"/>
      <c r="C61" s="3526"/>
      <c r="D61" s="3526"/>
      <c r="E61" s="3526"/>
      <c r="F61" s="2284"/>
      <c r="G61" s="2284"/>
      <c r="H61" s="2285"/>
      <c r="I61" s="2279"/>
      <c r="J61" s="1501">
        <f>J59+1</f>
        <v>6</v>
      </c>
      <c r="K61" s="3458" t="s">
        <v>225</v>
      </c>
      <c r="L61" s="3458"/>
      <c r="M61" s="3291"/>
      <c r="N61" s="3292" t="e">
        <f ca="1">ROUND(N59*10000/'数据-汇总表'!E3,0)</f>
        <v>#VALUE!</v>
      </c>
      <c r="O61" s="3293"/>
    </row>
    <row r="62" spans="1:35" ht="12.75">
      <c r="A62" s="3479" t="s">
        <v>312</v>
      </c>
      <c r="B62" s="3480"/>
      <c r="C62" s="1919"/>
      <c r="D62" s="1919" t="s">
        <v>320</v>
      </c>
      <c r="E62" s="524" t="s">
        <v>321</v>
      </c>
      <c r="F62" s="2284"/>
      <c r="G62" s="2284"/>
      <c r="H62" s="2285"/>
      <c r="I62" s="2279"/>
    </row>
    <row r="63" spans="1:35" ht="12.75">
      <c r="A63" s="535" t="s">
        <v>1902</v>
      </c>
      <c r="B63" s="525" t="s">
        <v>313</v>
      </c>
      <c r="C63" s="526">
        <f ca="1">ROUND((C64+C65)/(1+'数据-取费表'!C42),0)</f>
        <v>4927</v>
      </c>
      <c r="D63" s="527"/>
      <c r="E63" s="528"/>
      <c r="F63" s="2284"/>
      <c r="G63" s="2284"/>
      <c r="H63" s="2285"/>
      <c r="I63" s="2279"/>
      <c r="J63" s="3440" t="s">
        <v>3005</v>
      </c>
      <c r="K63" s="3270" t="s">
        <v>3006</v>
      </c>
      <c r="L63" s="3268" t="e">
        <f>IF(M49&gt;10000,M49*0.5%,IF(AND(M49&gt;1000,M49&lt;=10000),M49*1%,IF(AND(M49&gt;100,M49&lt;=1000),M49*3%,IF(AND(M49&gt;10,M49&lt;=100),M49*5%,M49*8%))))</f>
        <v>#VALUE!</v>
      </c>
      <c r="M63" s="313" t="e">
        <f>ROUND(L63,1)</f>
        <v>#VALUE!</v>
      </c>
      <c r="Z63" s="1434"/>
      <c r="AI63" s="1244"/>
    </row>
    <row r="64" spans="1:35" ht="14.25" customHeight="1">
      <c r="A64" s="529" t="s">
        <v>1897</v>
      </c>
      <c r="B64" s="530" t="s">
        <v>314</v>
      </c>
      <c r="C64" s="531">
        <f ca="1">D45</f>
        <v>5173</v>
      </c>
      <c r="D64" s="532" t="s">
        <v>167</v>
      </c>
      <c r="E64" s="533"/>
      <c r="F64" s="2284"/>
      <c r="G64" s="2284"/>
      <c r="H64" s="2285"/>
      <c r="I64" s="2279"/>
      <c r="J64" s="3440"/>
      <c r="K64" s="3270" t="s">
        <v>3007</v>
      </c>
      <c r="L64" s="3268"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3013</v>
      </c>
      <c r="Z64" s="1434"/>
      <c r="AI64" s="1244"/>
    </row>
    <row r="65" spans="1:35" ht="14.25" customHeight="1">
      <c r="A65" s="529" t="s">
        <v>1898</v>
      </c>
      <c r="B65" s="530" t="s">
        <v>315</v>
      </c>
      <c r="C65" s="534"/>
      <c r="D65" s="532"/>
      <c r="E65" s="533"/>
      <c r="F65" s="2284"/>
      <c r="G65" s="2284"/>
      <c r="H65" s="2285"/>
      <c r="I65" s="2279"/>
      <c r="J65" s="3440"/>
      <c r="K65" s="3270" t="s">
        <v>3008</v>
      </c>
      <c r="L65" s="3268" t="e">
        <f>IF(M49&gt;1000,M49*0.1%,IF(AND(M49&gt;500,M49&lt;=1000),M49*0.5%,IF(AND(M49&gt;50,M49&lt;=500),M49*1%,IF(AND(M49&gt;1,M49&lt;=50),M49*1.5%))))</f>
        <v>#VALUE!</v>
      </c>
      <c r="M65" s="313" t="e">
        <f t="shared" si="1"/>
        <v>#VALUE!</v>
      </c>
      <c r="N65" s="469" t="s">
        <v>3014</v>
      </c>
      <c r="Z65" s="1434"/>
      <c r="AI65" s="1244"/>
    </row>
    <row r="66" spans="1:35" ht="14.25" customHeight="1">
      <c r="A66" s="535" t="s">
        <v>1899</v>
      </c>
      <c r="B66" s="536" t="s">
        <v>316</v>
      </c>
      <c r="C66" s="537"/>
      <c r="D66" s="538" t="s">
        <v>167</v>
      </c>
      <c r="E66" s="3322" t="s">
        <v>3052</v>
      </c>
      <c r="F66" s="2284"/>
      <c r="G66" s="2284"/>
      <c r="H66" s="2285"/>
      <c r="I66" s="2279"/>
      <c r="J66" s="3440"/>
      <c r="K66" s="3270" t="s">
        <v>3009</v>
      </c>
      <c r="L66" s="3268" t="e">
        <f>M49*0.5%</f>
        <v>#VALUE!</v>
      </c>
      <c r="M66" s="313" t="e">
        <f>IF(L66&gt;0.5,0.5,ROUND(L66,0))</f>
        <v>#VALUE!</v>
      </c>
      <c r="N66" s="469" t="s">
        <v>3015</v>
      </c>
      <c r="Z66" s="1434"/>
      <c r="AI66" s="1244"/>
    </row>
    <row r="67" spans="1:35" ht="14.25" customHeight="1">
      <c r="A67" s="535" t="s">
        <v>1900</v>
      </c>
      <c r="B67" s="536" t="s">
        <v>317</v>
      </c>
      <c r="C67" s="539">
        <f ca="1">C63-C66</f>
        <v>4927</v>
      </c>
      <c r="D67" s="532" t="s">
        <v>167</v>
      </c>
      <c r="E67" s="533"/>
      <c r="F67" s="2284"/>
      <c r="G67" s="2284"/>
      <c r="H67" s="2285"/>
      <c r="I67" s="2279"/>
      <c r="J67" s="3440"/>
      <c r="K67" s="3270" t="s">
        <v>3010</v>
      </c>
      <c r="L67" s="3268"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1901</v>
      </c>
      <c r="B68" s="541" t="s">
        <v>318</v>
      </c>
      <c r="C68" s="542">
        <f ca="1">IF(C67&lt;=0,0,ROUND(C67*D68,0))</f>
        <v>271</v>
      </c>
      <c r="D68" s="543">
        <f>'数据-取费表'!B41</f>
        <v>5.5000000000000007E-2</v>
      </c>
      <c r="E68" s="544"/>
      <c r="F68" s="2284"/>
      <c r="G68" s="2284"/>
      <c r="H68" s="2285"/>
      <c r="I68" s="2279"/>
      <c r="J68" s="3440"/>
      <c r="K68" s="3270" t="s">
        <v>3011</v>
      </c>
      <c r="L68" s="3268"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440"/>
      <c r="K69" s="3270" t="s">
        <v>187</v>
      </c>
      <c r="L69" s="3269"/>
      <c r="M69" s="313" t="e">
        <f>ROUND(SUM(M63:M68),0)</f>
        <v>#VALUE!</v>
      </c>
      <c r="N69" s="3271"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89" t="s">
        <v>319</v>
      </c>
      <c r="B70" s="3490"/>
      <c r="C70" s="3490"/>
      <c r="D70" s="3490"/>
      <c r="E70" s="3490"/>
      <c r="F70" s="3490"/>
      <c r="G70" s="3490"/>
      <c r="H70" s="3490"/>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79" t="s">
        <v>312</v>
      </c>
      <c r="B71" s="3480"/>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1902</v>
      </c>
      <c r="B72" s="536" t="s">
        <v>322</v>
      </c>
      <c r="C72" s="539">
        <f ca="1">ROUND(D45/(1+'数据-取费表'!C42),0)</f>
        <v>4927</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1899</v>
      </c>
      <c r="B73" s="505" t="s">
        <v>323</v>
      </c>
      <c r="C73" s="539">
        <f ca="1">C74+C78</f>
        <v>25</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1904</v>
      </c>
      <c r="B75" s="530" t="s">
        <v>325</v>
      </c>
      <c r="C75" s="550"/>
      <c r="D75" s="532" t="s">
        <v>167</v>
      </c>
      <c r="E75" s="551" t="s">
        <v>326</v>
      </c>
      <c r="F75" s="1427" t="s">
        <v>2426</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IF(F75="购房发票",ROUND(C75*H75*D76,0),0)</f>
        <v>0</v>
      </c>
      <c r="D76" s="554">
        <v>0.05</v>
      </c>
      <c r="E76" s="3486" t="s">
        <v>328</v>
      </c>
      <c r="F76" s="3485"/>
      <c r="G76" s="3485"/>
      <c r="H76" s="3488"/>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ROUND(IF(G77="个人住宅",0,IF(G77="2016年5月1日前购买",C75*D77,C75*D77/(1+'数据-取费表'!C42))),0)</f>
        <v>0</v>
      </c>
      <c r="D77" s="555">
        <f>'数据-取费表'!B48+'数据-取费表'!B49</f>
        <v>4.0500000000000001E-2</v>
      </c>
      <c r="E77" s="303" t="s">
        <v>800</v>
      </c>
      <c r="F77" s="556"/>
      <c r="G77" s="1428" t="s">
        <v>2517</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f ca="1">ROUND(D45*D78/(1+'数据-取费表'!C42),0)</f>
        <v>25</v>
      </c>
      <c r="D78" s="558">
        <f>'数据-取费表'!B43</f>
        <v>5.000000000000001E-3</v>
      </c>
      <c r="E78" s="3481" t="s">
        <v>2518</v>
      </c>
      <c r="F78" s="3477"/>
      <c r="G78" s="3477"/>
      <c r="H78" s="3478"/>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1908</v>
      </c>
      <c r="B79" s="536" t="s">
        <v>331</v>
      </c>
      <c r="C79" s="539">
        <f ca="1">C72-C73</f>
        <v>4902</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f ca="1">IF(C79&lt;=0,0,C79/C73)</f>
        <v>196.08</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1910</v>
      </c>
      <c r="B81" s="541" t="s">
        <v>333</v>
      </c>
      <c r="C81" s="560">
        <f ca="1">ROUND(IF(C79&lt;=0,0,IF(C80&gt;=200%,C79*60%-C73*35%,IF(C80&gt;=100%,C79*50%-C73*15%,IF(C80&gt;=50%,C79*40%-C73*5%,IF(C80&lt;50%,C79*30%,0))))),0)</f>
        <v>2932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89" t="s">
        <v>334</v>
      </c>
      <c r="B83" s="3490"/>
      <c r="C83" s="3490"/>
      <c r="D83" s="3490"/>
      <c r="E83" s="3490"/>
      <c r="F83" s="3490"/>
      <c r="G83" s="3490"/>
      <c r="H83" s="3490"/>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79" t="s">
        <v>312</v>
      </c>
      <c r="B84" s="3480"/>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1902</v>
      </c>
      <c r="B85" s="536" t="s">
        <v>322</v>
      </c>
      <c r="C85" s="539">
        <f ca="1">ROUND(D45/(1+'数据-取费表'!C42),0)</f>
        <v>4927</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1899</v>
      </c>
      <c r="B86" s="505" t="s">
        <v>323</v>
      </c>
      <c r="C86" s="539">
        <f ca="1">IF(H88="仅含出让金",C87+C90+C91+C92+C93+C94,C87+C91+C92+C93+C94)</f>
        <v>25</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1903</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1904</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1906</v>
      </c>
      <c r="B89" s="530" t="s">
        <v>329</v>
      </c>
      <c r="C89" s="557">
        <f>ROUND(C88*D89,0)</f>
        <v>0</v>
      </c>
      <c r="D89" s="558">
        <f>'数据-取费表'!B48+'数据-取费表'!B49</f>
        <v>4.0500000000000001E-2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76" t="s">
        <v>801</v>
      </c>
      <c r="F91" s="3477"/>
      <c r="G91" s="3477"/>
      <c r="H91" s="1430" t="s">
        <v>2326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0</v>
      </c>
      <c r="D92" s="558">
        <v>0.1</v>
      </c>
      <c r="E92" s="3476" t="s">
        <v>343</v>
      </c>
      <c r="F92" s="3477"/>
      <c r="G92" s="3477"/>
      <c r="H92" s="3478"/>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f ca="1">ROUND(D45*D93/(1+'数据-取费表'!C42),0)</f>
        <v>25</v>
      </c>
      <c r="D93" s="558">
        <f>'数据-取费表'!B43</f>
        <v>5.000000000000001E-3</v>
      </c>
      <c r="E93" s="3481" t="s">
        <v>2518</v>
      </c>
      <c r="F93" s="3477"/>
      <c r="G93" s="3477"/>
      <c r="H93" s="3478"/>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0</v>
      </c>
      <c r="D94" s="558">
        <v>0.2</v>
      </c>
      <c r="E94" s="3476" t="s">
        <v>345</v>
      </c>
      <c r="F94" s="3477"/>
      <c r="G94" s="3477"/>
      <c r="H94" s="3478"/>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1908</v>
      </c>
      <c r="B95" s="536" t="s">
        <v>331</v>
      </c>
      <c r="C95" s="539">
        <f ca="1">ROUND(C85-C86,0)</f>
        <v>4902</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f ca="1">IF(C95&lt;=0,0,C95/C86)</f>
        <v>196.08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1910</v>
      </c>
      <c r="B97" s="541" t="s">
        <v>333</v>
      </c>
      <c r="C97" s="560">
        <f ca="1">ROUND(IF(C95&lt;=0,0,IF(C96&gt;=200%,C95*60%-C86*35%,IF(C96&gt;=100%,C95*50%-C86*15%,IF(C96&gt;=50%,C95*40%-C86*5%,IF(C96&lt;50%,C95*30%,0))))),0)</f>
        <v>2932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24" t="s">
        <v>230</v>
      </c>
      <c r="B100" s="3425"/>
      <c r="C100" s="3425"/>
      <c r="D100" s="3459"/>
      <c r="E100" s="3425" t="s">
        <v>2918</v>
      </c>
      <c r="F100" s="3425"/>
      <c r="G100" s="3425"/>
      <c r="H100" s="3459"/>
      <c r="I100" s="2279"/>
    </row>
    <row r="101" spans="1:35" ht="18.75" customHeight="1">
      <c r="A101" s="3467" t="s">
        <v>208</v>
      </c>
      <c r="B101" s="3468"/>
      <c r="C101" s="1266" t="str">
        <f>C4</f>
        <v>成本法</v>
      </c>
      <c r="D101" s="1267" t="str">
        <f>D4</f>
        <v>收益法</v>
      </c>
      <c r="E101" s="3436" t="s">
        <v>1916</v>
      </c>
      <c r="F101" s="3437"/>
      <c r="G101" s="1268" t="s">
        <v>210</v>
      </c>
      <c r="H101" s="1987">
        <f ca="1">H118</f>
        <v>5173</v>
      </c>
      <c r="I101" s="2279"/>
    </row>
    <row r="102" spans="1:35" ht="18.75" customHeight="1">
      <c r="A102" s="3469" t="s">
        <v>209</v>
      </c>
      <c r="B102" s="1268" t="s">
        <v>210</v>
      </c>
      <c r="C102" s="1235">
        <f ca="1">C19</f>
        <v>5173</v>
      </c>
      <c r="D102" s="1236">
        <f ca="1">D19</f>
        <v>5818</v>
      </c>
      <c r="E102" s="3436"/>
      <c r="F102" s="3437"/>
      <c r="G102" s="1268" t="s">
        <v>211</v>
      </c>
      <c r="H102" s="711">
        <f ca="1">I118</f>
        <v>2576</v>
      </c>
      <c r="I102" s="2279"/>
    </row>
    <row r="103" spans="1:35" ht="42.75" customHeight="1">
      <c r="A103" s="3469"/>
      <c r="B103" s="1268" t="s">
        <v>211</v>
      </c>
      <c r="C103" s="1237">
        <f ca="1">C20</f>
        <v>2576</v>
      </c>
      <c r="D103" s="1238">
        <f ca="1">D20</f>
        <v>2897</v>
      </c>
      <c r="E103" s="3430" t="s">
        <v>3028</v>
      </c>
      <c r="F103" s="3431"/>
      <c r="G103" s="1269" t="s">
        <v>213</v>
      </c>
      <c r="H103" s="1987">
        <f>IF(D36="正常操作",H104+H105+H106,H105+H106)</f>
        <v>0</v>
      </c>
      <c r="I103" s="2279"/>
    </row>
    <row r="104" spans="1:35" ht="18.75" customHeight="1">
      <c r="A104" s="3469" t="s">
        <v>212</v>
      </c>
      <c r="B104" s="1270" t="s">
        <v>210</v>
      </c>
      <c r="C104" s="1239">
        <f ca="1">H118</f>
        <v>5173</v>
      </c>
      <c r="D104" s="1240"/>
      <c r="E104" s="13" t="s">
        <v>1915</v>
      </c>
      <c r="F104" s="6"/>
      <c r="G104" s="1269" t="s">
        <v>213</v>
      </c>
      <c r="H104" s="1988">
        <f>IF(D36="同一抵押权人同一抵押物续贷",C36&amp;"（未扣减，详见特别提示）",C36)</f>
        <v>0</v>
      </c>
      <c r="I104" s="2279"/>
    </row>
    <row r="105" spans="1:35" ht="18.75" customHeight="1" thickBot="1">
      <c r="A105" s="3483"/>
      <c r="B105" s="1271" t="s">
        <v>211</v>
      </c>
      <c r="C105" s="1241">
        <f ca="1">I118</f>
        <v>2576</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71" t="str">
        <f>IF(项目基本情况!E8="已注销","——","3.房地产抵押价值")</f>
        <v>3.房地产抵押价值</v>
      </c>
      <c r="F107" s="3437"/>
      <c r="G107" s="1268" t="s">
        <v>210</v>
      </c>
      <c r="H107" s="1987">
        <f ca="1">IF(E107="——","——",H101-H103)</f>
        <v>5173</v>
      </c>
      <c r="I107" s="2279"/>
    </row>
    <row r="108" spans="1:35" ht="18.75" customHeight="1">
      <c r="A108" s="2279"/>
      <c r="B108" s="2279"/>
      <c r="C108" s="2279"/>
      <c r="D108" s="2279"/>
      <c r="E108" s="3471"/>
      <c r="F108" s="3437"/>
      <c r="G108" s="1268" t="s">
        <v>211</v>
      </c>
      <c r="H108" s="711">
        <f ca="1">ROUND(H107*10000/'数据-汇总表'!E3,0)</f>
        <v>2576</v>
      </c>
      <c r="I108" s="2279"/>
    </row>
    <row r="109" spans="1:35" ht="18.75" customHeight="1">
      <c r="A109" s="2279"/>
      <c r="B109" s="2279"/>
      <c r="C109" s="2279"/>
      <c r="D109" s="2279"/>
      <c r="E109" s="3471" t="str">
        <f>IF(项目基本情况!E8="已注销及未注销","4.抵押担保权已注销时的房地产抵押价值",IF(项目基本情况!E8="已注销","3.抵押担保权已注销时的房地产抵押价值","——"))</f>
        <v>——</v>
      </c>
      <c r="F109" s="3437"/>
      <c r="G109" s="1268" t="s">
        <v>210</v>
      </c>
      <c r="H109" s="685" t="str">
        <f>IF(E109="——","——",H101-H105-H106)</f>
        <v>——</v>
      </c>
      <c r="I109" s="2279"/>
    </row>
    <row r="110" spans="1:35" ht="18.75" customHeight="1">
      <c r="A110" s="2279"/>
      <c r="B110" s="2279"/>
      <c r="C110" s="2279"/>
      <c r="D110" s="2279"/>
      <c r="E110" s="3471"/>
      <c r="F110" s="3437"/>
      <c r="G110" s="1268" t="s">
        <v>211</v>
      </c>
      <c r="H110" s="711" t="str">
        <f>IF(H109="——","——",ROUND(H109*10000/'数据-汇总表'!E3,0))</f>
        <v>——</v>
      </c>
      <c r="I110" s="2279"/>
    </row>
    <row r="111" spans="1:35" ht="18.75" customHeight="1">
      <c r="A111" s="2279"/>
      <c r="B111" s="2279"/>
      <c r="C111" s="2279"/>
      <c r="D111" s="2279"/>
      <c r="E111" s="3472" t="str">
        <f>IF(项目基本情况!E9="抵押净值",IF(OR(项目基本情况!E8="已注销",项目基本情况!E8="房地产抵押价值"),"4.抵押净值","5.抵押净值"),"——")</f>
        <v>——</v>
      </c>
      <c r="F111" s="3473"/>
      <c r="G111" s="1268" t="s">
        <v>210</v>
      </c>
      <c r="H111" s="1987" t="str">
        <f>IF(E111="——","——",N59)</f>
        <v>——</v>
      </c>
      <c r="I111" s="2279"/>
    </row>
    <row r="112" spans="1:35" ht="18.75" customHeight="1" thickBot="1">
      <c r="A112" s="2279"/>
      <c r="B112" s="2279"/>
      <c r="C112" s="2279"/>
      <c r="D112" s="2279"/>
      <c r="E112" s="3474"/>
      <c r="F112" s="3475"/>
      <c r="G112" s="1272" t="s">
        <v>211</v>
      </c>
      <c r="H112" s="1423" t="str">
        <f>IF(E111="——","——",N61)</f>
        <v>——</v>
      </c>
      <c r="I112" s="2279"/>
    </row>
    <row r="113" spans="1:11" ht="18.75" customHeight="1">
      <c r="A113" s="2279"/>
      <c r="B113" s="2279"/>
      <c r="C113" s="2279"/>
      <c r="D113" s="2279"/>
      <c r="E113" s="3484" t="s">
        <v>2013</v>
      </c>
      <c r="F113" s="3484"/>
      <c r="G113" s="3484"/>
      <c r="H113" s="3484"/>
      <c r="I113" s="2279"/>
    </row>
    <row r="114" spans="1:11" ht="3.75" customHeight="1">
      <c r="A114" s="1243"/>
      <c r="B114" s="1243"/>
      <c r="C114" s="1243"/>
      <c r="D114" s="1243"/>
      <c r="E114" s="1258"/>
      <c r="F114" s="1258"/>
      <c r="G114" s="1258"/>
      <c r="H114" s="1258"/>
      <c r="I114" s="1243"/>
    </row>
    <row r="115" spans="1:11" ht="18.75" customHeight="1">
      <c r="A115" s="3497" t="s">
        <v>226</v>
      </c>
      <c r="B115" s="3498"/>
      <c r="C115" s="3498"/>
      <c r="D115" s="3498"/>
      <c r="E115" s="3498"/>
      <c r="F115" s="3498"/>
      <c r="G115" s="3498"/>
      <c r="H115" s="3498"/>
      <c r="I115" s="3499"/>
    </row>
    <row r="116" spans="1:11" ht="27" customHeight="1">
      <c r="A116" s="3404" t="s">
        <v>5</v>
      </c>
      <c r="B116" s="3446" t="s">
        <v>790</v>
      </c>
      <c r="C116" s="3446" t="s">
        <v>791</v>
      </c>
      <c r="D116" s="3455" t="s">
        <v>206</v>
      </c>
      <c r="E116" s="3456"/>
      <c r="F116" s="3493" t="s">
        <v>2394</v>
      </c>
      <c r="G116" s="3493"/>
      <c r="H116" s="3404" t="s">
        <v>6</v>
      </c>
      <c r="I116" s="3404"/>
    </row>
    <row r="117" spans="1:11" ht="18.75" customHeight="1">
      <c r="A117" s="3404"/>
      <c r="B117" s="3447"/>
      <c r="C117" s="3447"/>
      <c r="D117" s="1916" t="s">
        <v>7</v>
      </c>
      <c r="E117" s="1916" t="s">
        <v>792</v>
      </c>
      <c r="F117" s="1916" t="s">
        <v>7</v>
      </c>
      <c r="G117" s="1916" t="s">
        <v>8</v>
      </c>
      <c r="H117" s="1916" t="s">
        <v>7</v>
      </c>
      <c r="I117" s="1916" t="s">
        <v>8</v>
      </c>
    </row>
    <row r="118" spans="1:11" ht="24.75" customHeight="1">
      <c r="A118" s="2034" t="str">
        <f>项目基本情况!S2</f>
        <v>房地产</v>
      </c>
      <c r="B118" s="1921">
        <f>M18</f>
        <v>20083.5</v>
      </c>
      <c r="C118" s="1921">
        <f>M19</f>
        <v>52242.5</v>
      </c>
      <c r="D118" s="1921">
        <f ca="1">ROUND(IF(D32="总价",C34,E118*B118/10000),0)</f>
        <v>921</v>
      </c>
      <c r="E118" s="1921">
        <f ca="1">ROUND(IF(C33="自定义",IF(D32="楼面单价",C34,D118*10000/B118),I118-G118),0)</f>
        <v>459</v>
      </c>
      <c r="F118" s="1921">
        <f ca="1">ROUND(IF(D32="总价",C35,G118*B118/10000),0)</f>
        <v>4252</v>
      </c>
      <c r="G118" s="1921">
        <f ca="1">ROUND(IF(D32="楼面单价",C35,F118*10000/B118),0)</f>
        <v>2117</v>
      </c>
      <c r="H118" s="1921">
        <f ca="1">ROUND(IF(D32="总价",C32,I118*B118/10000),0)</f>
        <v>5173</v>
      </c>
      <c r="I118" s="1921">
        <f ca="1">ROUND(IF(D32="楼面单价",C32,H118*10000/B118),0)</f>
        <v>2576</v>
      </c>
    </row>
    <row r="119" spans="1:11" ht="18.75" customHeight="1">
      <c r="A119" s="3404" t="s">
        <v>9</v>
      </c>
      <c r="B119" s="3404"/>
      <c r="C119" s="3404"/>
      <c r="D119" s="3448" t="str">
        <f ca="1">NUMBERSTRING(INT(D118*10000),2)&amp;"元整"</f>
        <v>玖佰贰拾壹万元整</v>
      </c>
      <c r="E119" s="3449"/>
      <c r="F119" s="3448" t="str">
        <f ca="1">NUMBERSTRING(INT(F118*10000),2)&amp;"元整"</f>
        <v>肆仟贰佰伍拾贰万元整</v>
      </c>
      <c r="G119" s="3449"/>
      <c r="H119" s="3448" t="str">
        <f ca="1">NUMBERSTRING(INT(H118*10000),2)&amp;"元整"</f>
        <v>伍仟壹佰柒拾叁万元整</v>
      </c>
      <c r="I119" s="3449"/>
    </row>
    <row r="120" spans="1:11" ht="18.75" customHeight="1">
      <c r="A120" s="3450" t="str">
        <f>MID(E103,3,LEN(E103)-2)</f>
        <v>估价师知悉的法定优先受偿款</v>
      </c>
      <c r="B120" s="3451"/>
      <c r="C120" s="3452"/>
      <c r="D120" s="3443">
        <f>H103</f>
        <v>0</v>
      </c>
      <c r="E120" s="3444"/>
      <c r="F120" s="3444"/>
      <c r="G120" s="3444"/>
      <c r="H120" s="3444"/>
      <c r="I120" s="3445"/>
      <c r="K120" s="1434" t="str">
        <f>IF(D120=0,"故，本次评估不存在"&amp;A120,"故，本次评估"&amp;A120&amp;"为人民币"&amp;D120&amp;"万元整。")</f>
        <v>故，本次评估不存在估价师知悉的法定优先受偿款</v>
      </c>
    </row>
    <row r="121" spans="1:11" ht="18.75" customHeight="1">
      <c r="A121" s="3494" t="s">
        <v>9</v>
      </c>
      <c r="B121" s="3495"/>
      <c r="C121" s="3496"/>
      <c r="D121" s="3448" t="str">
        <f>IF(D120=0,"零元整",NUMBERSTRING(INT(D120*10000),2)&amp;"元整")</f>
        <v>零元整</v>
      </c>
      <c r="E121" s="3453"/>
      <c r="F121" s="3453"/>
      <c r="G121" s="3453"/>
      <c r="H121" s="3453"/>
      <c r="I121" s="3449"/>
    </row>
    <row r="122" spans="1:11" ht="18.75" customHeight="1">
      <c r="A122" s="3457" t="str">
        <f>MID(E107,3,LEN(E107)-2)</f>
        <v>房地产抵押价值</v>
      </c>
      <c r="B122" s="3457"/>
      <c r="C122" s="3457"/>
      <c r="D122" s="3443">
        <f ca="1">H107</f>
        <v>5173</v>
      </c>
      <c r="E122" s="3444"/>
      <c r="F122" s="3444"/>
      <c r="G122" s="3444"/>
      <c r="H122" s="3444"/>
      <c r="I122" s="3445"/>
    </row>
    <row r="123" spans="1:11" ht="18.75" customHeight="1">
      <c r="A123" s="3404" t="s">
        <v>9</v>
      </c>
      <c r="B123" s="3404"/>
      <c r="C123" s="3404"/>
      <c r="D123" s="3448" t="str">
        <f ca="1">NUMBERSTRING(INT(D122*10000),2)&amp;"元整"</f>
        <v>伍仟壹佰柒拾叁万元整</v>
      </c>
      <c r="E123" s="3453"/>
      <c r="F123" s="3453"/>
      <c r="G123" s="3453"/>
      <c r="H123" s="3453"/>
      <c r="I123" s="3449"/>
    </row>
    <row r="124" spans="1:11" ht="18.75" customHeight="1">
      <c r="A124" s="3457" t="str">
        <f>MID(E109,3,LEN(E109)-2)</f>
        <v/>
      </c>
      <c r="B124" s="3457"/>
      <c r="C124" s="3457"/>
      <c r="D124" s="3443" t="str">
        <f>H109</f>
        <v>——</v>
      </c>
      <c r="E124" s="3444"/>
      <c r="F124" s="3444"/>
      <c r="G124" s="3444"/>
      <c r="H124" s="3444"/>
      <c r="I124" s="3445"/>
    </row>
    <row r="125" spans="1:11" ht="18.75" customHeight="1">
      <c r="A125" s="3404" t="s">
        <v>9</v>
      </c>
      <c r="B125" s="3404"/>
      <c r="C125" s="3404"/>
      <c r="D125" s="3448" t="e">
        <f>NUMBERSTRING(INT(D124*10000),2)&amp;"元整"</f>
        <v>#VALUE!</v>
      </c>
      <c r="E125" s="3453"/>
      <c r="F125" s="3453"/>
      <c r="G125" s="3453"/>
      <c r="H125" s="3453"/>
      <c r="I125" s="3449"/>
    </row>
    <row r="126" spans="1:11" ht="18.75" customHeight="1">
      <c r="A126" s="3457" t="str">
        <f>MID(E111,3,LEN(E111)-2)</f>
        <v/>
      </c>
      <c r="B126" s="3457"/>
      <c r="C126" s="3457"/>
      <c r="D126" s="3443" t="str">
        <f>H111</f>
        <v>——</v>
      </c>
      <c r="E126" s="3444"/>
      <c r="F126" s="3444"/>
      <c r="G126" s="3444"/>
      <c r="H126" s="3444"/>
      <c r="I126" s="3445"/>
    </row>
    <row r="127" spans="1:11" ht="18.75" customHeight="1">
      <c r="A127" s="3404" t="s">
        <v>9</v>
      </c>
      <c r="B127" s="3404"/>
      <c r="C127" s="3404"/>
      <c r="D127" s="3448" t="e">
        <f>NUMBERSTRING(INT(D126*10000),2)&amp;"元整"</f>
        <v>#VALUE!</v>
      </c>
      <c r="E127" s="3453"/>
      <c r="F127" s="3453"/>
      <c r="G127" s="3453"/>
      <c r="H127" s="3453"/>
      <c r="I127" s="3449"/>
    </row>
    <row r="128" spans="1:11" ht="21.75" customHeight="1">
      <c r="A128" s="3454" t="s">
        <v>2012</v>
      </c>
      <c r="B128" s="3454"/>
      <c r="C128" s="3454"/>
      <c r="D128" s="3454"/>
      <c r="E128" s="3454"/>
      <c r="F128" s="3454"/>
      <c r="G128" s="3454"/>
      <c r="H128" s="3454"/>
      <c r="I128" s="3454"/>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4:C16">
    <cfRule type="cellIs" dxfId="141" priority="17" stopIfTrue="1" operator="equal">
      <formula>30</formula>
    </cfRule>
  </conditionalFormatting>
  <conditionalFormatting sqref="C10:C13">
    <cfRule type="cellIs" dxfId="140" priority="12" stopIfTrue="1" operator="equal">
      <formula>15</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2" stopIfTrue="1" operator="equal">
      <formula>30</formula>
    </cfRule>
  </conditionalFormatting>
  <conditionalFormatting sqref="D10:D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B40" sqref="B4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822</v>
      </c>
      <c r="B1" s="2754" t="s">
        <v>3169</v>
      </c>
      <c r="C1" s="574"/>
      <c r="D1" s="574"/>
      <c r="E1" s="574"/>
      <c r="F1" s="574"/>
      <c r="G1" s="2755">
        <f>MATCH(B1,'数据-取费表'!A6:A16,0)+5</f>
        <v>6</v>
      </c>
    </row>
    <row r="2" spans="1:9" s="576" customFormat="1" ht="18" customHeight="1">
      <c r="A2" s="577" t="s">
        <v>447</v>
      </c>
      <c r="B2" s="578">
        <f ca="1">IF(D2="——",C52,C52-E2)</f>
        <v>5173</v>
      </c>
      <c r="C2" s="85" t="s">
        <v>872</v>
      </c>
      <c r="D2" s="2875" t="s">
        <v>532</v>
      </c>
      <c r="E2" s="2873" t="e">
        <f ca="1">SUMIF(INDIRECT("'"&amp;G2&amp;"'"&amp;"!A:A"),"承租人权益价值",INDIRECT("'"&amp;G2&amp;"'"&amp;"!c:c"))</f>
        <v>#REF!</v>
      </c>
      <c r="F2" s="2871" t="s">
        <v>872</v>
      </c>
      <c r="G2" s="2874"/>
    </row>
    <row r="3" spans="1:9" s="576" customFormat="1" ht="18" customHeight="1" thickBot="1">
      <c r="A3" s="579" t="s">
        <v>448</v>
      </c>
      <c r="B3" s="580">
        <f ca="1">ROUND(B2*10000/(IF(B1="",'数据-汇总表'!E3,INDIRECT("'数据-取费表'!k"&amp;$G$1))),0)</f>
        <v>2576</v>
      </c>
      <c r="C3" s="85" t="s">
        <v>873</v>
      </c>
      <c r="D3" s="575"/>
      <c r="E3" s="575"/>
      <c r="F3" s="575"/>
      <c r="G3" s="575"/>
    </row>
    <row r="4" spans="1:9" s="584" customFormat="1" ht="15.75">
      <c r="A4" s="581" t="s">
        <v>825</v>
      </c>
      <c r="B4" s="582"/>
      <c r="C4" s="582"/>
      <c r="D4" s="582"/>
      <c r="E4" s="582"/>
      <c r="F4" s="582"/>
      <c r="G4" s="583"/>
    </row>
    <row r="5" spans="1:9" s="590" customFormat="1" ht="13.5" customHeight="1">
      <c r="A5" s="631" t="s">
        <v>2519</v>
      </c>
      <c r="B5" s="586" t="s">
        <v>826</v>
      </c>
      <c r="C5" s="587">
        <f ca="1">C6+C7+C8</f>
        <v>744</v>
      </c>
      <c r="D5" s="587" t="s">
        <v>827</v>
      </c>
      <c r="E5" s="588" t="s">
        <v>828</v>
      </c>
      <c r="F5" s="588" t="s">
        <v>829</v>
      </c>
      <c r="G5" s="589"/>
    </row>
    <row r="6" spans="1:9" s="590" customFormat="1" ht="13.5" customHeight="1">
      <c r="A6" s="1805" t="s">
        <v>1928</v>
      </c>
      <c r="B6" s="591" t="s">
        <v>830</v>
      </c>
      <c r="C6" s="592">
        <f>'土地比较法-工业'!F61</f>
        <v>695</v>
      </c>
      <c r="D6" s="593"/>
      <c r="E6" s="594"/>
      <c r="F6" s="594"/>
      <c r="G6" s="595"/>
    </row>
    <row r="7" spans="1:9" s="590" customFormat="1" ht="13.5" customHeight="1">
      <c r="A7" s="1805" t="s">
        <v>1929</v>
      </c>
      <c r="B7" s="591" t="s">
        <v>348</v>
      </c>
      <c r="C7" s="596">
        <f>ROUND(C6*F7,0)</f>
        <v>28</v>
      </c>
      <c r="D7" s="596"/>
      <c r="E7" s="594"/>
      <c r="F7" s="597">
        <f>'数据-取费表'!B48+'数据-取费表'!B49</f>
        <v>4.0500000000000001E-2</v>
      </c>
      <c r="G7" s="595"/>
    </row>
    <row r="8" spans="1:9" s="599" customFormat="1">
      <c r="A8" s="1805" t="s">
        <v>1930</v>
      </c>
      <c r="B8" s="591" t="s">
        <v>831</v>
      </c>
      <c r="C8" s="596">
        <f ca="1">IF(G8="已包含在土地购买价格中","0",IF(B1="",'数据-取费表'!B29,IF(G9="全部缴纳",C9+C10,H9)))</f>
        <v>21</v>
      </c>
      <c r="D8" s="598"/>
      <c r="E8" s="596"/>
      <c r="F8" s="597"/>
      <c r="G8" s="84" t="s">
        <v>3201</v>
      </c>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0</v>
      </c>
      <c r="F9" s="597"/>
      <c r="G9" s="2805" t="s">
        <v>3202</v>
      </c>
      <c r="H9" s="2806"/>
      <c r="I9" s="2807" t="s">
        <v>2701</v>
      </c>
    </row>
    <row r="10" spans="1:9" s="590" customFormat="1" ht="13.5" customHeight="1">
      <c r="A10" s="1806" t="s">
        <v>1938</v>
      </c>
      <c r="B10" s="600" t="s">
        <v>833</v>
      </c>
      <c r="C10" s="601">
        <f ca="1">ROUND(D10*E10/10000,0)</f>
        <v>21</v>
      </c>
      <c r="D10" s="1910">
        <f ca="1">IF(B1="",'数据-汇总表'!E6,IF(INDIRECT("'数据-取费表'!c"&amp;$G$1)="住宅",INDIRECT("'数据-取费表'!s"&amp;$G$1),INDIRECT("'数据-取费表'!k"&amp;$G$1)+INDIRECT("'数据-取费表'!s"&amp;$G$1)))</f>
        <v>20083.5</v>
      </c>
      <c r="E10" s="601">
        <f>'数据-取费表'!B28</f>
        <v>10.7</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t="str">
        <f>IF(G19="已包含在土地取得成本中","0",ROUND(D19*E19/10000,0))</f>
        <v>0</v>
      </c>
      <c r="D19" s="1914">
        <f ca="1">D9+D10</f>
        <v>20083.5</v>
      </c>
      <c r="E19" s="587">
        <f>'数据-取费表'!B31</f>
        <v>200</v>
      </c>
      <c r="F19" s="607"/>
      <c r="G19" s="84" t="s">
        <v>3203</v>
      </c>
    </row>
    <row r="20" spans="1:7" s="590" customFormat="1" ht="13.5" customHeight="1">
      <c r="A20" s="1804" t="s">
        <v>2522</v>
      </c>
      <c r="B20" s="586" t="s">
        <v>843</v>
      </c>
      <c r="C20" s="608">
        <f ca="1">ROUND((C5+C19)*F20,0)</f>
        <v>11</v>
      </c>
      <c r="D20" s="608"/>
      <c r="E20" s="608"/>
      <c r="F20" s="609">
        <f>'数据-取费表'!B37</f>
        <v>1.4999999999999999E-2</v>
      </c>
      <c r="G20" s="2622" t="s">
        <v>2533</v>
      </c>
    </row>
    <row r="21" spans="1:7" s="590" customFormat="1" ht="13.5" customHeight="1">
      <c r="A21" s="1804" t="s">
        <v>2524</v>
      </c>
      <c r="B21" s="586" t="s">
        <v>844</v>
      </c>
      <c r="C21" s="611">
        <f>F21</f>
        <v>0.01</v>
      </c>
      <c r="D21" s="612" t="s">
        <v>865</v>
      </c>
      <c r="E21" s="608"/>
      <c r="F21" s="609">
        <f>'数据-取费表'!B38</f>
        <v>0.01</v>
      </c>
      <c r="G21" s="610" t="s">
        <v>845</v>
      </c>
    </row>
    <row r="22" spans="1:7" s="590" customFormat="1" ht="13.5" customHeight="1">
      <c r="A22" s="1804" t="s">
        <v>1923</v>
      </c>
      <c r="B22" s="586" t="s">
        <v>846</v>
      </c>
      <c r="C22" s="2701">
        <f ca="1">ROUND(SUM(C23:C25),0)</f>
        <v>32</v>
      </c>
      <c r="D22" s="611">
        <f ca="1">C26</f>
        <v>2.0000000000000001E-4</v>
      </c>
      <c r="E22" s="612" t="s">
        <v>865</v>
      </c>
      <c r="F22" s="613">
        <f ca="1">'数据-取费表'!B40</f>
        <v>4.3499999999999997E-2</v>
      </c>
      <c r="G22" s="2622" t="str">
        <f>IF('数据-取费表'!B22&lt;=1,"单利计息","复利计息")</f>
        <v>单利计息</v>
      </c>
    </row>
    <row r="23" spans="1:7" s="590" customFormat="1" ht="13.5" customHeight="1">
      <c r="A23" s="1807" t="s">
        <v>1928</v>
      </c>
      <c r="B23" s="591" t="s">
        <v>2526</v>
      </c>
      <c r="C23" s="2702">
        <f ca="1">ROUND(IF('数据-取费表'!B22&lt;=1,C5*F22*'数据-取费表'!B23,C5*(POWER((1+F22),'数据-取费表'!B23)-1)),0)</f>
        <v>32</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0</v>
      </c>
      <c r="D24" s="614"/>
      <c r="E24" s="614"/>
      <c r="F24" s="615"/>
      <c r="G24" s="616" t="s">
        <v>848</v>
      </c>
    </row>
    <row r="25" spans="1:7" s="590" customFormat="1" ht="24">
      <c r="A25" s="1807" t="s">
        <v>1930</v>
      </c>
      <c r="B25" s="591" t="s">
        <v>2523</v>
      </c>
      <c r="C25" s="2702">
        <f ca="1">ROUND(IF('数据-取费表'!B22&lt;=1,C20*F22*'数据-取费表'!B23/2,C20*(POWER((1+F22),'数据-取费表'!B23/2)-1)),0)</f>
        <v>0</v>
      </c>
      <c r="D25" s="614"/>
      <c r="E25" s="617"/>
      <c r="F25" s="615"/>
      <c r="G25" s="618" t="s">
        <v>849</v>
      </c>
    </row>
    <row r="26" spans="1:7" s="590" customFormat="1">
      <c r="A26" s="1807" t="s">
        <v>1932</v>
      </c>
      <c r="B26" s="591" t="s">
        <v>2525</v>
      </c>
      <c r="C26" s="614">
        <f ca="1">ROUND(IF('数据-取费表'!B22&lt;=1,F21*F22*'数据-取费表'!B23/2,F21*(POWER((1+F22),'数据-取费表'!B23/2)-1)),4)</f>
        <v>2.0000000000000001E-4</v>
      </c>
      <c r="D26" s="614"/>
      <c r="E26" s="617"/>
      <c r="F26" s="615"/>
      <c r="G26" s="619"/>
    </row>
    <row r="27" spans="1:7" s="590" customFormat="1" ht="24.75">
      <c r="A27" s="1804" t="s">
        <v>1924</v>
      </c>
      <c r="B27" s="620" t="s">
        <v>851</v>
      </c>
      <c r="C27" s="621">
        <f ca="1">C28</f>
        <v>76</v>
      </c>
      <c r="D27" s="611">
        <f ca="1">C29</f>
        <v>1E-3</v>
      </c>
      <c r="E27" s="612" t="s">
        <v>865</v>
      </c>
      <c r="F27" s="622">
        <f ca="1">IF(B1="",'数据-取费表'!Q16,INDIRECT("'数据-取费表'!q"&amp;$G$1))</f>
        <v>0.1</v>
      </c>
      <c r="G27" s="623" t="s">
        <v>2534</v>
      </c>
    </row>
    <row r="28" spans="1:7" s="590" customFormat="1" ht="13.5" customHeight="1">
      <c r="A28" s="1807" t="s">
        <v>1928</v>
      </c>
      <c r="B28" s="624" t="s">
        <v>2527</v>
      </c>
      <c r="C28" s="625">
        <f ca="1">ROUND((C5+C19+C20)*F27*'数据-取费表'!B21/'数据-取费表'!B20,0)</f>
        <v>76</v>
      </c>
      <c r="D28" s="611"/>
      <c r="E28" s="612"/>
      <c r="F28" s="622"/>
      <c r="G28" s="623"/>
    </row>
    <row r="29" spans="1:7" s="590" customFormat="1" ht="13.5" customHeight="1">
      <c r="A29" s="1807" t="s">
        <v>1929</v>
      </c>
      <c r="B29" s="624" t="s">
        <v>2528</v>
      </c>
      <c r="C29" s="614">
        <f ca="1">ROUND(C21*F27*'数据-取费表'!B21/'数据-取费表'!B20,4)</f>
        <v>1E-3</v>
      </c>
      <c r="D29" s="611"/>
      <c r="E29" s="612"/>
      <c r="F29" s="622"/>
      <c r="G29" s="623"/>
    </row>
    <row r="30" spans="1:7" s="590" customFormat="1" ht="13.5" customHeight="1">
      <c r="A30" s="1804" t="s">
        <v>1925</v>
      </c>
      <c r="B30" s="586" t="s">
        <v>349</v>
      </c>
      <c r="C30" s="611">
        <f>ROUND(F30/(1+'数据-取费表'!C42),4)</f>
        <v>5.2400000000000002E-2</v>
      </c>
      <c r="D30" s="612" t="s">
        <v>2955</v>
      </c>
      <c r="E30" s="617"/>
      <c r="F30" s="613">
        <f>'数据-取费表'!B41</f>
        <v>5.5000000000000007E-2</v>
      </c>
      <c r="G30" s="2622" t="s">
        <v>2956</v>
      </c>
    </row>
    <row r="31" spans="1:7" ht="16.5" customHeight="1">
      <c r="A31" s="585">
        <v>1</v>
      </c>
      <c r="B31" s="586" t="s">
        <v>867</v>
      </c>
      <c r="C31" s="587">
        <f ca="1">ROUND((C5+C19+C20+C22+C27)/(1-C21-D22-D27-C30),0)</f>
        <v>922</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 ca="1">SUM(C34:C38)</f>
        <v>4600</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4017</v>
      </c>
      <c r="D34" s="593"/>
      <c r="E34" s="596"/>
      <c r="F34" s="633">
        <f ca="1">IF('数据-取费表'!B24=0,1,IF(B1="",'数据-取费表'!N16,INDIRECT("'数据-取费表'!n"&amp;$G$1)))</f>
        <v>1</v>
      </c>
      <c r="G34" s="595" t="s">
        <v>855</v>
      </c>
    </row>
    <row r="35" spans="1:7" ht="13.5" customHeight="1">
      <c r="A35" s="1807" t="s">
        <v>1933</v>
      </c>
      <c r="B35" s="591" t="s">
        <v>351</v>
      </c>
      <c r="C35" s="596">
        <f ca="1">ROUND(C34*F35,0)</f>
        <v>121</v>
      </c>
      <c r="D35" s="596"/>
      <c r="E35" s="596"/>
      <c r="F35" s="635">
        <f>'数据-取费表'!B33</f>
        <v>0.03</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402</v>
      </c>
      <c r="D37" s="593">
        <f ca="1">D19</f>
        <v>20083.5</v>
      </c>
      <c r="E37" s="625">
        <f>'数据-取费表'!B35</f>
        <v>200</v>
      </c>
      <c r="F37" s="635"/>
      <c r="G37" s="637" t="s">
        <v>858</v>
      </c>
    </row>
    <row r="38" spans="1:7" ht="13.5" customHeight="1">
      <c r="A38" s="1807" t="s">
        <v>1936</v>
      </c>
      <c r="B38" s="591" t="s">
        <v>354</v>
      </c>
      <c r="C38" s="596">
        <f ca="1">ROUND(C34*F38,0)</f>
        <v>60</v>
      </c>
      <c r="D38" s="596"/>
      <c r="E38" s="596"/>
      <c r="F38" s="635">
        <f>'数据-取费表'!B36</f>
        <v>1.4999999999999999E-2</v>
      </c>
      <c r="G38" s="595" t="s">
        <v>856</v>
      </c>
    </row>
    <row r="39" spans="1:7" s="590" customFormat="1" ht="13.5" customHeight="1">
      <c r="A39" s="1804" t="s">
        <v>1920</v>
      </c>
      <c r="B39" s="586" t="s">
        <v>843</v>
      </c>
      <c r="C39" s="608">
        <f ca="1">ROUND(C33*F20,0)</f>
        <v>69</v>
      </c>
      <c r="D39" s="608"/>
      <c r="E39" s="608"/>
      <c r="F39" s="609"/>
      <c r="G39" s="2622" t="s">
        <v>2536</v>
      </c>
    </row>
    <row r="40" spans="1:7" s="590" customFormat="1" ht="13.5" customHeight="1">
      <c r="A40" s="1804" t="s">
        <v>1921</v>
      </c>
      <c r="B40" s="586" t="s">
        <v>844</v>
      </c>
      <c r="C40" s="3240">
        <f>F21</f>
        <v>0.01</v>
      </c>
      <c r="D40" s="612" t="s">
        <v>868</v>
      </c>
      <c r="E40" s="608"/>
      <c r="F40" s="609"/>
      <c r="G40" s="610" t="s">
        <v>859</v>
      </c>
    </row>
    <row r="41" spans="1:7" s="590" customFormat="1" ht="13.5" customHeight="1">
      <c r="A41" s="1804" t="s">
        <v>1922</v>
      </c>
      <c r="B41" s="586" t="s">
        <v>846</v>
      </c>
      <c r="C41" s="608">
        <f ca="1">ROUND(SUM(C42:C43),0)</f>
        <v>102</v>
      </c>
      <c r="D41" s="611">
        <f ca="1">C44</f>
        <v>2.0000000000000001E-4</v>
      </c>
      <c r="E41" s="612" t="s">
        <v>868</v>
      </c>
      <c r="F41" s="613"/>
      <c r="G41" s="2622" t="str">
        <f>IF('数据-取费表'!B22&lt;=1,"单利计息","复利计息")</f>
        <v>单利计息</v>
      </c>
    </row>
    <row r="42" spans="1:7" ht="13.5" customHeight="1">
      <c r="A42" s="1807" t="s">
        <v>1928</v>
      </c>
      <c r="B42" s="591" t="s">
        <v>2526</v>
      </c>
      <c r="C42" s="614">
        <f ca="1">ROUND(IF('数据-取费表'!B22&lt;=1,C33*F22*'数据-取费表'!B21/2,C33*(POWER((1+F22),'数据-取费表'!B21/2)-1)),0)</f>
        <v>100</v>
      </c>
      <c r="D42" s="614"/>
      <c r="E42" s="614"/>
      <c r="F42" s="615"/>
      <c r="G42" s="3528" t="s">
        <v>860</v>
      </c>
    </row>
    <row r="43" spans="1:7" ht="13.5" customHeight="1">
      <c r="A43" s="1807" t="s">
        <v>1929</v>
      </c>
      <c r="B43" s="591" t="s">
        <v>2529</v>
      </c>
      <c r="C43" s="614">
        <f ca="1">ROUND(IF('数据-取费表'!B22&lt;=1,C39*F22*'数据-取费表'!B21/2,C39*(POWER((1+F22),'数据-取费表'!B21/2)-1)),0)</f>
        <v>2</v>
      </c>
      <c r="D43" s="614"/>
      <c r="E43" s="614"/>
      <c r="F43" s="615"/>
      <c r="G43" s="3529"/>
    </row>
    <row r="44" spans="1:7" ht="13.5" customHeight="1">
      <c r="A44" s="1807" t="s">
        <v>1930</v>
      </c>
      <c r="B44" s="591" t="s">
        <v>2531</v>
      </c>
      <c r="C44" s="614">
        <f ca="1">ROUND(IF('数据-取费表'!B22&lt;=1,C40*F22*'数据-取费表'!B21/2,C40*(POWER((1+F22),'数据-取费表'!B21/2)-1)),4)</f>
        <v>2.0000000000000001E-4</v>
      </c>
      <c r="D44" s="614"/>
      <c r="E44" s="614"/>
      <c r="F44" s="615"/>
      <c r="G44" s="3530"/>
    </row>
    <row r="45" spans="1:7" s="590" customFormat="1" ht="13.5" customHeight="1">
      <c r="A45" s="1804" t="s">
        <v>1923</v>
      </c>
      <c r="B45" s="620" t="s">
        <v>851</v>
      </c>
      <c r="C45" s="621">
        <f ca="1">C46</f>
        <v>467</v>
      </c>
      <c r="D45" s="611">
        <f ca="1">C47</f>
        <v>1E-3</v>
      </c>
      <c r="E45" s="612" t="s">
        <v>868</v>
      </c>
      <c r="F45" s="622"/>
      <c r="G45" s="623" t="s">
        <v>2537</v>
      </c>
    </row>
    <row r="46" spans="1:7" s="590" customFormat="1" ht="13.5" customHeight="1">
      <c r="A46" s="1807" t="s">
        <v>1928</v>
      </c>
      <c r="B46" s="624" t="s">
        <v>2530</v>
      </c>
      <c r="C46" s="625">
        <f ca="1">ROUND((C33+C39)*F27,0)</f>
        <v>467</v>
      </c>
      <c r="D46" s="639"/>
      <c r="E46" s="612"/>
      <c r="F46" s="622"/>
      <c r="G46" s="623"/>
    </row>
    <row r="47" spans="1:7" s="590" customFormat="1" ht="13.5" customHeight="1">
      <c r="A47" s="1807" t="s">
        <v>1929</v>
      </c>
      <c r="B47" s="624" t="s">
        <v>2532</v>
      </c>
      <c r="C47" s="614">
        <f ca="1">ROUND(C40*F27,4)</f>
        <v>1E-3</v>
      </c>
      <c r="D47" s="639"/>
      <c r="E47" s="612"/>
      <c r="F47" s="622"/>
      <c r="G47" s="623"/>
    </row>
    <row r="48" spans="1:7" s="590" customFormat="1" ht="13.5" customHeight="1">
      <c r="A48" s="1804" t="s">
        <v>1924</v>
      </c>
      <c r="B48" s="586" t="s">
        <v>861</v>
      </c>
      <c r="C48" s="3240">
        <f>ROUND(F30/(1+'数据-取费表'!C42),4)</f>
        <v>5.2400000000000002E-2</v>
      </c>
      <c r="D48" s="612" t="s">
        <v>2957</v>
      </c>
      <c r="E48" s="608"/>
      <c r="F48" s="613"/>
      <c r="G48" s="2622" t="s">
        <v>2958</v>
      </c>
    </row>
    <row r="49" spans="1:7" ht="16.5" customHeight="1">
      <c r="A49" s="1804" t="s">
        <v>1925</v>
      </c>
      <c r="B49" s="586" t="s">
        <v>870</v>
      </c>
      <c r="C49" s="608">
        <f ca="1">ROUND((C33+C39+C41+C45)/(1-C40-D41-D45-C48),0)</f>
        <v>5594</v>
      </c>
      <c r="D49" s="608"/>
      <c r="E49" s="608"/>
      <c r="F49" s="640"/>
      <c r="G49" s="610" t="s">
        <v>2538</v>
      </c>
    </row>
    <row r="50" spans="1:7" s="634" customFormat="1" ht="24">
      <c r="A50" s="1804" t="s">
        <v>1926</v>
      </c>
      <c r="B50" s="586" t="s">
        <v>863</v>
      </c>
      <c r="C50" s="608"/>
      <c r="D50" s="608"/>
      <c r="E50" s="608"/>
      <c r="F50" s="640">
        <f>IF('数据-取费表'!B24=0,'数据-取费表'!N16,1)</f>
        <v>0.76</v>
      </c>
      <c r="G50" s="623" t="s">
        <v>864</v>
      </c>
    </row>
    <row r="51" spans="1:7" ht="16.5" customHeight="1">
      <c r="A51" s="1804" t="s">
        <v>1927</v>
      </c>
      <c r="B51" s="586" t="s">
        <v>871</v>
      </c>
      <c r="C51" s="608">
        <f ca="1">ROUND(C49*F50,0)</f>
        <v>4251</v>
      </c>
      <c r="D51" s="608"/>
      <c r="E51" s="608"/>
      <c r="F51" s="640"/>
      <c r="G51" s="610" t="s">
        <v>355</v>
      </c>
    </row>
    <row r="52" spans="1:7" s="584" customFormat="1" ht="16.5" thickBot="1">
      <c r="A52" s="641" t="s">
        <v>356</v>
      </c>
      <c r="B52" s="642"/>
      <c r="C52" s="643">
        <f ca="1">C31+C51</f>
        <v>5173</v>
      </c>
      <c r="D52" s="642"/>
      <c r="E52" s="642"/>
      <c r="F52" s="642"/>
      <c r="G52" s="644"/>
    </row>
    <row r="55" spans="1:7" ht="15">
      <c r="B55" s="646" t="s">
        <v>357</v>
      </c>
      <c r="C55" s="647"/>
    </row>
    <row r="56" spans="1:7">
      <c r="B56" s="2877" t="s">
        <v>2713</v>
      </c>
      <c r="C56" s="651">
        <f ca="1">1-C57</f>
        <v>0.17800000000000005</v>
      </c>
    </row>
    <row r="57" spans="1:7">
      <c r="B57" s="2877" t="s">
        <v>2712</v>
      </c>
      <c r="C57" s="650">
        <f ca="1">ROUND(C51/C52,3)</f>
        <v>0.82199999999999995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1969</v>
      </c>
      <c r="B36" s="1889" t="s">
        <v>1970</v>
      </c>
    </row>
    <row r="37" spans="1:9" ht="27.75" customHeight="1">
      <c r="A37" s="1889"/>
      <c r="B37" s="3339" t="str">
        <f>项目基本情况!B1</f>
        <v>预评估</v>
      </c>
      <c r="C37" s="3339"/>
      <c r="D37" s="3339"/>
      <c r="E37" s="3339"/>
      <c r="F37" s="3339"/>
      <c r="G37" s="3339"/>
      <c r="H37" s="3339"/>
      <c r="I37" s="3339"/>
    </row>
    <row r="38" spans="1:9">
      <c r="A38" s="1891"/>
      <c r="B38" s="1891"/>
    </row>
    <row r="39" spans="1:9">
      <c r="A39" s="1889" t="s">
        <v>1969</v>
      </c>
      <c r="B39" s="1889" t="s">
        <v>1971</v>
      </c>
    </row>
    <row r="40" spans="1:9">
      <c r="A40" s="1889"/>
      <c r="B40" s="1889">
        <f>项目基本情况!B5</f>
        <v>0</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ht="12.75">
      <c r="B46" s="1889" t="str">
        <f>项目基本情况!K4</f>
        <v>（注册号：0)、（注册号：0)</v>
      </c>
    </row>
    <row r="47" spans="1:9">
      <c r="A47" s="1889"/>
      <c r="B47" s="1889" t="str">
        <f>项目基本情况!K5</f>
        <v/>
      </c>
    </row>
    <row r="48" spans="1:9">
      <c r="A48" s="1889" t="s">
        <v>1969</v>
      </c>
      <c r="B48" s="1889" t="s">
        <v>1975</v>
      </c>
    </row>
    <row r="49" spans="2:2">
      <c r="B49" s="1889" t="str">
        <f>"康正预评字"&amp;项目基本情况!B2&amp;"号"</f>
        <v>康正预评字2017-1-0639-P01DYGJ2号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822</v>
      </c>
      <c r="B1" s="2754"/>
      <c r="C1" s="2759" t="s">
        <v>2643</v>
      </c>
      <c r="D1" s="574"/>
      <c r="E1" s="574"/>
      <c r="F1" s="574"/>
      <c r="G1" s="2755">
        <f>MATCH(B1,'数据-取费表'!A6:A16,0)+5</f>
        <v>7</v>
      </c>
      <c r="H1" s="2586" t="str">
        <f>IF(ISERROR(FIND("住宅",B1)),"非住宅","住宅")</f>
        <v>非住宅</v>
      </c>
    </row>
    <row r="2" spans="1:8" s="576" customFormat="1" ht="18" customHeight="1">
      <c r="A2" s="577" t="s">
        <v>346</v>
      </c>
      <c r="B2" s="578">
        <f ca="1">ROUND(IF(D2="——",C52/10000,C52/10000-E2),0)</f>
        <v>4774</v>
      </c>
      <c r="C2" s="85" t="s">
        <v>872</v>
      </c>
      <c r="D2" s="2875" t="s">
        <v>532</v>
      </c>
      <c r="E2" s="2873" t="e">
        <f ca="1">SUMIF(INDIRECT("'"&amp;G2&amp;"'"&amp;"!A:A"),"承租人权益价值",INDIRECT("'"&amp;G2&amp;"'"&amp;"!c:c"))</f>
        <v>#REF!</v>
      </c>
      <c r="F2" s="2871" t="s">
        <v>872</v>
      </c>
      <c r="G2" s="2874"/>
    </row>
    <row r="3" spans="1:8" s="576" customFormat="1" ht="18" customHeight="1" thickBot="1">
      <c r="A3" s="579" t="s">
        <v>347</v>
      </c>
      <c r="B3" s="580">
        <f ca="1">ROUND(B2*10000/(IF(B1="",'数据-汇总表'!E3,INDIRECT("'数据-取费表'!k"&amp;$G$1))),0)</f>
        <v>2377</v>
      </c>
      <c r="C3" s="85" t="s">
        <v>873</v>
      </c>
      <c r="D3" s="575"/>
      <c r="E3" s="575"/>
      <c r="F3" s="575"/>
      <c r="G3" s="575"/>
    </row>
    <row r="4" spans="1:8" s="584" customFormat="1" ht="15.75">
      <c r="A4" s="581" t="s">
        <v>825</v>
      </c>
      <c r="B4" s="582"/>
      <c r="C4" s="582"/>
      <c r="D4" s="582"/>
      <c r="E4" s="582"/>
      <c r="F4" s="582"/>
      <c r="G4" s="583"/>
    </row>
    <row r="5" spans="1:8" s="590" customFormat="1" ht="13.5" customHeight="1">
      <c r="A5" s="631" t="s">
        <v>1919</v>
      </c>
      <c r="B5" s="586" t="s">
        <v>826</v>
      </c>
      <c r="C5" s="587">
        <f ca="1">C6+C7+C8</f>
        <v>214893</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4.0500000000000001E-2</v>
      </c>
      <c r="G7" s="595"/>
    </row>
    <row r="8" spans="1:8" s="599" customFormat="1">
      <c r="A8" s="1805" t="s">
        <v>1930</v>
      </c>
      <c r="B8" s="591" t="s">
        <v>831</v>
      </c>
      <c r="C8" s="596">
        <f ca="1">IF(G8="已包含在土地购买价格中",0,C9+C10)</f>
        <v>214893</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1938</v>
      </c>
      <c r="B10" s="600" t="s">
        <v>833</v>
      </c>
      <c r="C10" s="601">
        <f ca="1">ROUND(D10*E10,0)</f>
        <v>214893</v>
      </c>
      <c r="D10" s="1910">
        <f ca="1">IF(B1="",'数据-汇总表'!E6,IF(INDIRECT("'数据-取费表'!c"&amp;$G$1)="住宅",INDIRECT("'数据-取费表'!s"&amp;$G$1),INDIRECT("'数据-取费表'!k"&amp;$G$1)+INDIRECT("'数据-取费表'!s"&amp;$G$1)))</f>
        <v>20083.5</v>
      </c>
      <c r="E10" s="601">
        <f>'数据-取费表'!B28</f>
        <v>10.7</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4016700</v>
      </c>
      <c r="D19" s="1914">
        <f ca="1">D9+D10</f>
        <v>20083.5</v>
      </c>
      <c r="E19" s="587">
        <f>'数据-取费表'!B31</f>
        <v>200</v>
      </c>
      <c r="F19" s="607"/>
      <c r="G19" s="84"/>
    </row>
    <row r="20" spans="1:7" s="590" customFormat="1" ht="13.5" customHeight="1">
      <c r="A20" s="1804" t="s">
        <v>1921</v>
      </c>
      <c r="B20" s="586" t="s">
        <v>843</v>
      </c>
      <c r="C20" s="608">
        <f ca="1">ROUND((C5+C19)*F20,0)</f>
        <v>63474</v>
      </c>
      <c r="D20" s="608"/>
      <c r="E20" s="608"/>
      <c r="F20" s="609">
        <f>'数据-取费表'!B37</f>
        <v>1.4999999999999999E-2</v>
      </c>
      <c r="G20" s="2622" t="s">
        <v>2533</v>
      </c>
    </row>
    <row r="21" spans="1:7" s="590" customFormat="1" ht="13.5" customHeight="1">
      <c r="A21" s="1804" t="s">
        <v>1922</v>
      </c>
      <c r="B21" s="586" t="s">
        <v>844</v>
      </c>
      <c r="C21" s="611">
        <f>F21</f>
        <v>0.01</v>
      </c>
      <c r="D21" s="612" t="s">
        <v>865</v>
      </c>
      <c r="E21" s="608"/>
      <c r="F21" s="609">
        <f>'数据-取费表'!B38</f>
        <v>0.01</v>
      </c>
      <c r="G21" s="610" t="s">
        <v>845</v>
      </c>
    </row>
    <row r="22" spans="1:7" s="590" customFormat="1" ht="13.5" customHeight="1">
      <c r="A22" s="1804" t="s">
        <v>1923</v>
      </c>
      <c r="B22" s="586" t="s">
        <v>846</v>
      </c>
      <c r="C22" s="2756">
        <f ca="1">ROUND(SUM(C23:C25),0)</f>
        <v>185455</v>
      </c>
      <c r="D22" s="611">
        <f ca="1">C26</f>
        <v>2.0000000000000001E-4</v>
      </c>
      <c r="E22" s="612" t="s">
        <v>865</v>
      </c>
      <c r="F22" s="613">
        <f ca="1">'数据-取费表'!B40</f>
        <v>4.3499999999999997E-2</v>
      </c>
      <c r="G22" s="2622" t="str">
        <f>IF('数据-取费表'!B22&lt;=1,"单利计息","复利计息")</f>
        <v>单利计息</v>
      </c>
    </row>
    <row r="23" spans="1:7" s="590" customFormat="1" ht="13.5" customHeight="1">
      <c r="A23" s="1807" t="s">
        <v>1928</v>
      </c>
      <c r="B23" s="591" t="s">
        <v>2526</v>
      </c>
      <c r="C23" s="2757">
        <f ca="1">ROUND(IF('数据-取费表'!B22&lt;=1,C5*F22*'数据-取费表'!B22,C5*(POWER((1+F22),'数据-取费表'!B22)-1)),0)</f>
        <v>9348</v>
      </c>
      <c r="D23" s="614"/>
      <c r="E23" s="614"/>
      <c r="F23" s="615"/>
      <c r="G23" s="616" t="s">
        <v>847</v>
      </c>
    </row>
    <row r="24" spans="1:7" s="590" customFormat="1" ht="13.5" customHeight="1">
      <c r="A24" s="1807" t="s">
        <v>1929</v>
      </c>
      <c r="B24" s="591" t="s">
        <v>2521</v>
      </c>
      <c r="C24" s="2757">
        <f ca="1">ROUND(IF('数据-取费表'!B22&lt;=1,C19*F22*('数据-取费表'!B19/2+'数据-取费表'!B20),C19*(POWER((1+F22),('数据-取费表'!B19/2+'数据-取费表'!B20))-1)),0)</f>
        <v>174726</v>
      </c>
      <c r="D24" s="614"/>
      <c r="E24" s="614"/>
      <c r="F24" s="615"/>
      <c r="G24" s="616" t="s">
        <v>848</v>
      </c>
    </row>
    <row r="25" spans="1:7" s="590" customFormat="1" ht="24">
      <c r="A25" s="1807" t="s">
        <v>1930</v>
      </c>
      <c r="B25" s="591" t="s">
        <v>2523</v>
      </c>
      <c r="C25" s="2757">
        <f ca="1">ROUND(IF('数据-取费表'!B22&lt;=1,C20*F22*'数据-取费表'!B22/2,C20*(POWER((1+F22),'数据-取费表'!B22/2)-1)),0)</f>
        <v>1381</v>
      </c>
      <c r="D25" s="614"/>
      <c r="E25" s="617"/>
      <c r="F25" s="615"/>
      <c r="G25" s="618" t="s">
        <v>849</v>
      </c>
    </row>
    <row r="26" spans="1:7" s="590" customFormat="1">
      <c r="A26" s="1807" t="s">
        <v>1932</v>
      </c>
      <c r="B26" s="591" t="s">
        <v>2525</v>
      </c>
      <c r="C26" s="614">
        <f ca="1">ROUND(IF('数据-取费表'!B22&lt;=1,F21*F22*'数据-取费表'!B22/2,F21*(POWER((1+F22),'数据-取费表'!B22/2)-1)),4)</f>
        <v>2.0000000000000001E-4</v>
      </c>
      <c r="D26" s="614"/>
      <c r="E26" s="617"/>
      <c r="F26" s="615"/>
      <c r="G26" s="619"/>
    </row>
    <row r="27" spans="1:7" s="590" customFormat="1" ht="24.75">
      <c r="A27" s="1804" t="s">
        <v>1924</v>
      </c>
      <c r="B27" s="620" t="s">
        <v>851</v>
      </c>
      <c r="C27" s="621">
        <f ca="1">C28</f>
        <v>429507</v>
      </c>
      <c r="D27" s="611">
        <f ca="1">C29</f>
        <v>1E-3</v>
      </c>
      <c r="E27" s="612" t="s">
        <v>865</v>
      </c>
      <c r="F27" s="622">
        <f ca="1">IF(B1="",'数据-取费表'!Q16,INDIRECT("'数据-取费表'!q"&amp;$G$1))</f>
        <v>0.1</v>
      </c>
      <c r="G27" s="623" t="s">
        <v>2534</v>
      </c>
    </row>
    <row r="28" spans="1:7" s="590" customFormat="1" ht="13.5" customHeight="1">
      <c r="A28" s="1807" t="s">
        <v>1928</v>
      </c>
      <c r="B28" s="624" t="s">
        <v>2527</v>
      </c>
      <c r="C28" s="625">
        <f ca="1">ROUND((C5+C19+C20)*F27,0)</f>
        <v>429507</v>
      </c>
      <c r="D28" s="611"/>
      <c r="E28" s="612"/>
      <c r="F28" s="622"/>
      <c r="G28" s="623"/>
    </row>
    <row r="29" spans="1:7" s="590" customFormat="1" ht="13.5" customHeight="1">
      <c r="A29" s="1807" t="s">
        <v>1929</v>
      </c>
      <c r="B29" s="624" t="s">
        <v>2528</v>
      </c>
      <c r="C29" s="614">
        <f ca="1">ROUND(C21*F27,4)</f>
        <v>1E-3</v>
      </c>
      <c r="D29" s="611"/>
      <c r="E29" s="612"/>
      <c r="F29" s="622"/>
      <c r="G29" s="623"/>
    </row>
    <row r="30" spans="1:7" s="590" customFormat="1" ht="13.5" customHeight="1">
      <c r="A30" s="1804" t="s">
        <v>1925</v>
      </c>
      <c r="B30" s="586" t="s">
        <v>349</v>
      </c>
      <c r="C30" s="611">
        <f>ROUND(F30/(1+'数据-取费表'!C42),4)</f>
        <v>5.2400000000000002E-2</v>
      </c>
      <c r="D30" s="612" t="s">
        <v>2959</v>
      </c>
      <c r="E30" s="617"/>
      <c r="F30" s="613">
        <f>'数据-取费表'!B41</f>
        <v>5.5000000000000007E-2</v>
      </c>
      <c r="G30" s="2622" t="s">
        <v>2960</v>
      </c>
    </row>
    <row r="31" spans="1:7" ht="16.5" customHeight="1">
      <c r="A31" s="585">
        <v>1</v>
      </c>
      <c r="B31" s="586" t="s">
        <v>867</v>
      </c>
      <c r="C31" s="587">
        <f ca="1">ROUND((C5+C19+C20+C22+C27)/(1-C21-D22-D27-C30),0)</f>
        <v>5243517</v>
      </c>
      <c r="D31" s="606"/>
      <c r="E31" s="587"/>
      <c r="F31" s="626"/>
      <c r="G31" s="610" t="s">
        <v>2535</v>
      </c>
    </row>
    <row r="32" spans="1:7" s="584" customFormat="1" ht="15.75">
      <c r="A32" s="628" t="s">
        <v>2638</v>
      </c>
      <c r="B32" s="629"/>
      <c r="C32" s="629"/>
      <c r="D32" s="629"/>
      <c r="E32" s="629"/>
      <c r="F32" s="629"/>
      <c r="G32" s="630"/>
    </row>
    <row r="33" spans="1:7" s="590" customFormat="1" ht="13.5" customHeight="1">
      <c r="A33" s="631" t="s">
        <v>1919</v>
      </c>
      <c r="B33" s="2758" t="s">
        <v>2639</v>
      </c>
      <c r="C33" s="632">
        <f ca="1">SUM(C34:C38)</f>
        <v>45991215</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40167000</v>
      </c>
      <c r="D34" s="593"/>
      <c r="E34" s="596"/>
      <c r="F34" s="633"/>
      <c r="G34" s="595"/>
    </row>
    <row r="35" spans="1:7" ht="13.5" customHeight="1">
      <c r="A35" s="1807" t="s">
        <v>1933</v>
      </c>
      <c r="B35" s="591" t="s">
        <v>351</v>
      </c>
      <c r="C35" s="596">
        <f ca="1">ROUND(C34*F35,0)</f>
        <v>1205010</v>
      </c>
      <c r="D35" s="596"/>
      <c r="E35" s="596"/>
      <c r="F35" s="635">
        <f>'数据-取费表'!B33</f>
        <v>0.03</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4016700</v>
      </c>
      <c r="D37" s="593">
        <f ca="1">D19</f>
        <v>20083.5</v>
      </c>
      <c r="E37" s="625">
        <f>'数据-取费表'!B35</f>
        <v>200</v>
      </c>
      <c r="F37" s="635"/>
      <c r="G37" s="637"/>
    </row>
    <row r="38" spans="1:7" ht="13.5" customHeight="1">
      <c r="A38" s="1807" t="s">
        <v>1936</v>
      </c>
      <c r="B38" s="591" t="s">
        <v>354</v>
      </c>
      <c r="C38" s="596">
        <f ca="1">ROUND(C34*F38,0)</f>
        <v>602505</v>
      </c>
      <c r="D38" s="596"/>
      <c r="E38" s="596"/>
      <c r="F38" s="635">
        <f>'数据-取费表'!B36</f>
        <v>1.4999999999999999E-2</v>
      </c>
      <c r="G38" s="595" t="s">
        <v>856</v>
      </c>
    </row>
    <row r="39" spans="1:7" s="590" customFormat="1" ht="13.5" customHeight="1">
      <c r="A39" s="1804" t="s">
        <v>1920</v>
      </c>
      <c r="B39" s="586" t="s">
        <v>843</v>
      </c>
      <c r="C39" s="608">
        <f ca="1">ROUND(C33*F20,0)</f>
        <v>689868</v>
      </c>
      <c r="D39" s="608"/>
      <c r="E39" s="608"/>
      <c r="F39" s="609"/>
      <c r="G39" s="2622" t="s">
        <v>2536</v>
      </c>
    </row>
    <row r="40" spans="1:7" s="590" customFormat="1" ht="13.5" customHeight="1">
      <c r="A40" s="1804" t="s">
        <v>1921</v>
      </c>
      <c r="B40" s="586" t="s">
        <v>844</v>
      </c>
      <c r="C40" s="3240">
        <f>F21</f>
        <v>0.01</v>
      </c>
      <c r="D40" s="612" t="s">
        <v>868</v>
      </c>
      <c r="E40" s="608"/>
      <c r="F40" s="609"/>
      <c r="G40" s="610" t="s">
        <v>859</v>
      </c>
    </row>
    <row r="41" spans="1:7" s="590" customFormat="1" ht="13.5" customHeight="1">
      <c r="A41" s="1804" t="s">
        <v>1922</v>
      </c>
      <c r="B41" s="586" t="s">
        <v>846</v>
      </c>
      <c r="C41" s="608">
        <f ca="1">ROUND(SUM(C42:C43),0)</f>
        <v>1015314</v>
      </c>
      <c r="D41" s="611">
        <f ca="1">C44</f>
        <v>2.0000000000000001E-4</v>
      </c>
      <c r="E41" s="612" t="s">
        <v>868</v>
      </c>
      <c r="F41" s="613"/>
      <c r="G41" s="2622" t="str">
        <f>IF('数据-取费表'!B22&lt;=1,"单利计息","复利计息")</f>
        <v>单利计息</v>
      </c>
    </row>
    <row r="42" spans="1:7" ht="13.5" customHeight="1">
      <c r="A42" s="1807" t="s">
        <v>1928</v>
      </c>
      <c r="B42" s="591" t="s">
        <v>2526</v>
      </c>
      <c r="C42" s="614">
        <f ca="1">ROUND(IF('数据-取费表'!B22&lt;=1,C33*F22*'数据-取费表'!B20/2,C33*(POWER((1+F22),'数据-取费表'!B20/2)-1)),0)</f>
        <v>1000309</v>
      </c>
      <c r="D42" s="614"/>
      <c r="E42" s="614"/>
      <c r="F42" s="615"/>
      <c r="G42" s="3531" t="s">
        <v>2642</v>
      </c>
    </row>
    <row r="43" spans="1:7" ht="13.5" customHeight="1">
      <c r="A43" s="1807" t="s">
        <v>1929</v>
      </c>
      <c r="B43" s="591" t="s">
        <v>2521</v>
      </c>
      <c r="C43" s="614">
        <f ca="1">ROUND(IF('数据-取费表'!B22&lt;=1,C39*F22*'数据-取费表'!B20/2,C39*(POWER((1+F22),'数据-取费表'!B20/2)-1)),0)</f>
        <v>15005</v>
      </c>
      <c r="D43" s="614"/>
      <c r="E43" s="614"/>
      <c r="F43" s="615"/>
      <c r="G43" s="3529"/>
    </row>
    <row r="44" spans="1:7" ht="13.5" customHeight="1">
      <c r="A44" s="1807" t="s">
        <v>1930</v>
      </c>
      <c r="B44" s="591" t="s">
        <v>2523</v>
      </c>
      <c r="C44" s="614">
        <f ca="1">ROUND(IF('数据-取费表'!B22&lt;=1,C40*F22*'数据-取费表'!B20/2,C40*(POWER((1+F22),'数据-取费表'!B20/2)-1)),4)</f>
        <v>2.0000000000000001E-4</v>
      </c>
      <c r="D44" s="614"/>
      <c r="E44" s="614"/>
      <c r="F44" s="615"/>
      <c r="G44" s="3530"/>
    </row>
    <row r="45" spans="1:7" s="590" customFormat="1" ht="13.5" customHeight="1">
      <c r="A45" s="1804" t="s">
        <v>1923</v>
      </c>
      <c r="B45" s="620" t="s">
        <v>851</v>
      </c>
      <c r="C45" s="621">
        <f ca="1">C46</f>
        <v>4668108</v>
      </c>
      <c r="D45" s="611">
        <f ca="1">C47</f>
        <v>1E-3</v>
      </c>
      <c r="E45" s="612" t="s">
        <v>868</v>
      </c>
      <c r="F45" s="622"/>
      <c r="G45" s="623" t="s">
        <v>2537</v>
      </c>
    </row>
    <row r="46" spans="1:7" s="590" customFormat="1" ht="13.5" customHeight="1">
      <c r="A46" s="1807" t="s">
        <v>1928</v>
      </c>
      <c r="B46" s="624" t="s">
        <v>2530</v>
      </c>
      <c r="C46" s="625">
        <f ca="1">ROUND((C33+C39)*F27,0)</f>
        <v>4668108</v>
      </c>
      <c r="D46" s="639"/>
      <c r="E46" s="612"/>
      <c r="F46" s="622"/>
      <c r="G46" s="623"/>
    </row>
    <row r="47" spans="1:7" s="590" customFormat="1" ht="13.5" customHeight="1">
      <c r="A47" s="1807" t="s">
        <v>1929</v>
      </c>
      <c r="B47" s="624" t="s">
        <v>2532</v>
      </c>
      <c r="C47" s="614">
        <f ca="1">ROUND(C40*F27,4)</f>
        <v>1E-3</v>
      </c>
      <c r="D47" s="639"/>
      <c r="E47" s="612"/>
      <c r="F47" s="622"/>
      <c r="G47" s="623"/>
    </row>
    <row r="48" spans="1:7" s="590" customFormat="1" ht="13.5" customHeight="1">
      <c r="A48" s="1804" t="s">
        <v>1924</v>
      </c>
      <c r="B48" s="586" t="s">
        <v>861</v>
      </c>
      <c r="C48" s="638">
        <f>ROUND(F30/(1+'数据-取费表'!C42),4)</f>
        <v>5.2400000000000002E-2</v>
      </c>
      <c r="D48" s="612" t="s">
        <v>2957</v>
      </c>
      <c r="E48" s="608"/>
      <c r="F48" s="613"/>
      <c r="G48" s="2622" t="s">
        <v>2958</v>
      </c>
    </row>
    <row r="49" spans="1:7" ht="16.5" customHeight="1">
      <c r="A49" s="1804" t="s">
        <v>1925</v>
      </c>
      <c r="B49" s="586" t="s">
        <v>2640</v>
      </c>
      <c r="C49" s="608">
        <f ca="1">ROUND((C33+C39+C41+C45)/(1-C40-D41-D45-C48),0)</f>
        <v>55921086</v>
      </c>
      <c r="D49" s="608"/>
      <c r="E49" s="608"/>
      <c r="F49" s="640"/>
      <c r="G49" s="610" t="s">
        <v>2538</v>
      </c>
    </row>
    <row r="50" spans="1:7" s="634" customFormat="1">
      <c r="A50" s="1804" t="s">
        <v>1926</v>
      </c>
      <c r="B50" s="586" t="s">
        <v>863</v>
      </c>
      <c r="C50" s="608"/>
      <c r="D50" s="608"/>
      <c r="E50" s="608"/>
      <c r="F50" s="640">
        <f>IF('数据-取费表'!B24=0,'数据-取费表'!N16,1)</f>
        <v>0.76</v>
      </c>
      <c r="G50" s="623"/>
    </row>
    <row r="51" spans="1:7" ht="16.5" customHeight="1">
      <c r="A51" s="1804" t="s">
        <v>1927</v>
      </c>
      <c r="B51" s="586" t="s">
        <v>2641</v>
      </c>
      <c r="C51" s="608">
        <f ca="1">ROUND(C49*F50,0)</f>
        <v>42500025</v>
      </c>
      <c r="D51" s="608"/>
      <c r="E51" s="608"/>
      <c r="F51" s="640"/>
      <c r="G51" s="610" t="s">
        <v>355</v>
      </c>
    </row>
    <row r="52" spans="1:7" s="584" customFormat="1" ht="16.5" thickBot="1">
      <c r="A52" s="641" t="s">
        <v>356</v>
      </c>
      <c r="B52" s="642"/>
      <c r="C52" s="643">
        <f ca="1">C31+C51</f>
        <v>47743542</v>
      </c>
      <c r="D52" s="642"/>
      <c r="E52" s="642"/>
      <c r="F52" s="642"/>
      <c r="G52" s="644"/>
    </row>
    <row r="55" spans="1:7" ht="15">
      <c r="B55" s="646" t="s">
        <v>357</v>
      </c>
      <c r="C55" s="647"/>
    </row>
    <row r="56" spans="1:7">
      <c r="B56" s="2877" t="s">
        <v>2713</v>
      </c>
      <c r="C56" s="651">
        <f ca="1">1-C57</f>
        <v>0.10999999999999999</v>
      </c>
    </row>
    <row r="57" spans="1:7">
      <c r="B57" s="2877" t="s">
        <v>2712</v>
      </c>
      <c r="C57" s="650">
        <f ca="1">ROUND(C51/C52,3)</f>
        <v>0.89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874</v>
      </c>
      <c r="B1" s="3055"/>
      <c r="C1" s="3056"/>
      <c r="D1" s="3054"/>
      <c r="E1" s="652"/>
      <c r="F1" s="652"/>
      <c r="G1" s="3055"/>
      <c r="H1" s="652"/>
      <c r="I1" s="652"/>
      <c r="J1" s="652"/>
      <c r="K1" s="652">
        <f>MATCH(C1,'数据-取费表'!A6:A16,0)+5</f>
        <v>7</v>
      </c>
    </row>
    <row r="2" spans="1:33" ht="18" customHeight="1">
      <c r="A2" s="577" t="s">
        <v>823</v>
      </c>
      <c r="B2" s="580">
        <f ca="1">C32</f>
        <v>-22</v>
      </c>
      <c r="C2" s="88" t="s">
        <v>1106</v>
      </c>
      <c r="D2" s="652"/>
      <c r="E2" s="652"/>
      <c r="F2" s="652"/>
      <c r="G2" s="652"/>
      <c r="H2" s="652"/>
      <c r="I2" s="652"/>
      <c r="J2" s="652"/>
      <c r="K2" s="652"/>
    </row>
    <row r="3" spans="1:33" ht="18" customHeight="1" thickBot="1">
      <c r="A3" s="579" t="s">
        <v>824</v>
      </c>
      <c r="B3" s="580">
        <f ca="1">ROUND(B2*10000/IF(C1="",'数据-汇总表'!E3,INDIRECT("'数据-取费表'!K"&amp;$K$1)),0)</f>
        <v>-11</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2963</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2964</v>
      </c>
      <c r="B12" s="1829" t="s">
        <v>887</v>
      </c>
      <c r="C12" s="313">
        <f ca="1">ROUND(C11*F12,0)</f>
        <v>0</v>
      </c>
      <c r="D12" s="1830"/>
      <c r="E12" s="715"/>
      <c r="F12" s="1833">
        <f>'数据-取费表'!B33</f>
        <v>0.03</v>
      </c>
      <c r="G12" s="295" t="s">
        <v>888</v>
      </c>
      <c r="H12" s="1825"/>
      <c r="I12" s="1825"/>
      <c r="J12" s="1825"/>
      <c r="K12" s="1826"/>
    </row>
    <row r="13" spans="1:33" s="1832" customFormat="1" ht="13.5" customHeight="1">
      <c r="A13" s="1828" t="s">
        <v>2965</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2966</v>
      </c>
      <c r="B14" s="1829" t="s">
        <v>891</v>
      </c>
      <c r="C14" s="313">
        <f ca="1">ROUND(D14*E14*F11/10000,0)</f>
        <v>0</v>
      </c>
      <c r="D14" s="1911">
        <f ca="1">IF(C1="",'数据-汇总表'!E3,INDIRECT("'数据-取费表'!K"&amp;$K$1)+INDIRECT("'数据-取费表'!S"&amp;$K$1))</f>
        <v>20083.5</v>
      </c>
      <c r="E14" s="313">
        <f>'数据-取费表'!B35</f>
        <v>200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2967</v>
      </c>
      <c r="B15" s="1829" t="s">
        <v>898</v>
      </c>
      <c r="C15" s="1840">
        <f ca="1">ROUND(C11*F15,0)</f>
        <v>0</v>
      </c>
      <c r="D15" s="1835"/>
      <c r="E15" s="1840"/>
      <c r="F15" s="1841">
        <f>'数据-取费表'!B36</f>
        <v>1.4999999999999999E-2</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1" t="s">
        <v>2968</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20083.5</v>
      </c>
      <c r="E17" s="313">
        <f>'数据-取费表'!B32</f>
        <v>0</v>
      </c>
      <c r="F17" s="1835"/>
      <c r="G17" s="471" t="s">
        <v>894</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2969</v>
      </c>
      <c r="B18" s="1829" t="s">
        <v>895</v>
      </c>
      <c r="C18" s="313">
        <f ca="1">C19+C20-IF(C1="",'数据-取费表'!B29,IF(G18="已全部缴纳",C19+C20,H18))</f>
        <v>21</v>
      </c>
      <c r="D18" s="1911"/>
      <c r="E18" s="313"/>
      <c r="F18" s="1833"/>
      <c r="G18" s="3051"/>
      <c r="H18" s="3049"/>
      <c r="I18" s="3050" t="s">
        <v>2813</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1943</v>
      </c>
      <c r="B20" s="1829" t="s">
        <v>897</v>
      </c>
      <c r="C20" s="313">
        <f ca="1">ROUND(D20*E20/10000,0)</f>
        <v>21</v>
      </c>
      <c r="D20" s="1911">
        <f ca="1">IF(C1="",'数据-汇总表'!E6,IF(INDIRECT("'数据-取费表'!c"&amp;$K$1)="住宅",INDIRECT("'数据-取费表'!s"&amp;$K$1),INDIRECT("'数据-取费表'!k"&amp;$K$1)+INDIRECT("'数据-取费表'!s"&amp;$K$1)))</f>
        <v>20083.5</v>
      </c>
      <c r="E20" s="313">
        <f>'数据-取费表'!B28</f>
        <v>10.7</v>
      </c>
      <c r="F20" s="1833"/>
      <c r="G20" s="303"/>
      <c r="H20" s="1838"/>
      <c r="I20" s="1838"/>
      <c r="J20" s="1838"/>
      <c r="K20" s="1839"/>
    </row>
    <row r="21" spans="1:33" s="1832" customFormat="1" ht="13.5" customHeight="1">
      <c r="A21" s="1817" t="s">
        <v>1939</v>
      </c>
      <c r="B21" s="1842" t="s">
        <v>900</v>
      </c>
      <c r="C21" s="1843">
        <f ca="1">C16+C17+C18</f>
        <v>21</v>
      </c>
      <c r="D21" s="1844"/>
      <c r="E21" s="657"/>
      <c r="F21" s="657"/>
      <c r="G21" s="471" t="s">
        <v>2539</v>
      </c>
      <c r="H21" s="1836"/>
      <c r="I21" s="1836"/>
      <c r="J21" s="1836"/>
      <c r="K21" s="1837"/>
    </row>
    <row r="22" spans="1:33" s="1832" customFormat="1" ht="13.5" customHeight="1">
      <c r="A22" s="1822" t="s">
        <v>1920</v>
      </c>
      <c r="B22" s="1842" t="s">
        <v>901</v>
      </c>
      <c r="C22" s="1843">
        <f ca="1">ROUND(C21*F22,0)</f>
        <v>0</v>
      </c>
      <c r="D22" s="657"/>
      <c r="E22" s="657"/>
      <c r="F22" s="1845">
        <f>'数据-取费表'!B37</f>
        <v>1.4999999999999999E-2</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0.01</v>
      </c>
      <c r="G23" s="295" t="s">
        <v>904</v>
      </c>
      <c r="H23" s="1825"/>
      <c r="I23" s="1825"/>
      <c r="J23" s="1825"/>
      <c r="K23" s="1826"/>
    </row>
    <row r="24" spans="1:33" s="1832" customFormat="1" ht="13.5" customHeight="1">
      <c r="A24" s="1822" t="s">
        <v>1922</v>
      </c>
      <c r="B24" s="1842" t="s">
        <v>905</v>
      </c>
      <c r="C24" s="656">
        <f>ROUND(F24/(1+'数据-取费表'!C42),4)</f>
        <v>3.8600000000000002E-2</v>
      </c>
      <c r="D24" s="657" t="s">
        <v>50</v>
      </c>
      <c r="E24" s="657"/>
      <c r="F24" s="1845">
        <f>'数据-取费表'!B48+'数据-取费表'!B49</f>
        <v>4.0500000000000001E-2</v>
      </c>
      <c r="G24" s="2024" t="s">
        <v>2961</v>
      </c>
      <c r="H24" s="1847"/>
      <c r="I24" s="1847"/>
      <c r="J24" s="1847"/>
      <c r="K24" s="1848"/>
    </row>
    <row r="25" spans="1:33" s="1832" customFormat="1" ht="13.5" customHeight="1">
      <c r="A25" s="1822" t="s">
        <v>1923</v>
      </c>
      <c r="B25" s="1844" t="s">
        <v>906</v>
      </c>
      <c r="C25" s="2704">
        <f ca="1">C27</f>
        <v>0</v>
      </c>
      <c r="D25" s="656">
        <f ca="1">C26</f>
        <v>0</v>
      </c>
      <c r="E25" s="658" t="s">
        <v>50</v>
      </c>
      <c r="F25" s="659">
        <f ca="1">'数据-取费表'!B40</f>
        <v>4.3499999999999997E-2</v>
      </c>
      <c r="G25" s="2703" t="str">
        <f>IF('数据-取费表'!B22&lt;=1,"单利计息。","复利计息。")&amp;"后续开发成本、管理费用及销售费用产生的利息。"</f>
        <v>单利计息。后续开发成本、管理费用及销售费用产生的利息。</v>
      </c>
      <c r="H25" s="1847"/>
      <c r="I25" s="1847"/>
      <c r="J25" s="1847"/>
      <c r="K25" s="1848"/>
    </row>
    <row r="26" spans="1:33" s="1850" customFormat="1" ht="13.5" customHeight="1">
      <c r="A26" s="1828" t="s">
        <v>1940</v>
      </c>
      <c r="B26" s="1849" t="s">
        <v>907</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（(1)+取得税费率/(1+5%)）×年利率×建设期</v>
      </c>
      <c r="H26" s="1836"/>
      <c r="I26" s="1836"/>
      <c r="J26" s="1836"/>
      <c r="K26" s="1837"/>
    </row>
    <row r="27" spans="1:33" s="1850" customFormat="1" ht="13.5" customHeight="1">
      <c r="A27" s="1828" t="s">
        <v>1941</v>
      </c>
      <c r="B27" s="1849" t="s">
        <v>2629</v>
      </c>
      <c r="C27" s="2706">
        <f ca="1">ROUND(IF('数据-取费表'!B22&lt;=1,(C21+C22+C23)*F25*'数据-取费表'!B24/2,(C21+C22+C23)*(POWER((1+F25),'数据-取费表'!B24/2)-1)),0)</f>
        <v>0</v>
      </c>
      <c r="D27" s="660"/>
      <c r="E27" s="661"/>
      <c r="F27" s="662"/>
      <c r="G27" s="2710" t="str">
        <f>IF('数据-取费表'!B22&lt;=1,"（1）-（3）项×年利率×建设期÷2","（1）-（3）项×((1+年利率)^(建设期÷2)-1)")</f>
        <v>（1）-（3）项×年利率×建设期÷2</v>
      </c>
      <c r="H27" s="1836"/>
      <c r="I27" s="1836"/>
      <c r="J27" s="1836"/>
      <c r="K27" s="1837"/>
    </row>
    <row r="28" spans="1:33" s="665" customFormat="1" ht="13.5" customHeight="1">
      <c r="A28" s="1822" t="s">
        <v>1924</v>
      </c>
      <c r="B28" s="3242" t="s">
        <v>2970</v>
      </c>
      <c r="C28" s="663">
        <f ca="1">C30</f>
        <v>2</v>
      </c>
      <c r="D28" s="656">
        <f ca="1">C29</f>
        <v>0</v>
      </c>
      <c r="E28" s="658" t="s">
        <v>50</v>
      </c>
      <c r="F28" s="664">
        <f ca="1">IF(C1="",'数据-取费表'!Q16,INDIRECT("'数据-取费表'!q"&amp;$K$1))</f>
        <v>0.1</v>
      </c>
      <c r="G28" s="1846"/>
      <c r="H28" s="1847"/>
      <c r="I28" s="1847"/>
      <c r="J28" s="1847"/>
      <c r="K28" s="1848"/>
    </row>
    <row r="29" spans="1:33" s="667" customFormat="1" ht="13.5" customHeight="1">
      <c r="A29" s="1828" t="s">
        <v>1940</v>
      </c>
      <c r="B29" s="1851" t="s">
        <v>908</v>
      </c>
      <c r="C29" s="660">
        <f ca="1">ROUND((1+C24)*F28*'数据-取费表'!B24/'数据-取费表'!B20,4)</f>
        <v>0</v>
      </c>
      <c r="D29" s="660"/>
      <c r="E29" s="661"/>
      <c r="F29" s="666"/>
      <c r="G29" s="471" t="s">
        <v>909</v>
      </c>
      <c r="H29" s="1836"/>
      <c r="I29" s="1836"/>
      <c r="J29" s="1836"/>
      <c r="K29" s="1837"/>
    </row>
    <row r="30" spans="1:33" s="667" customFormat="1" ht="13.5" customHeight="1">
      <c r="A30" s="1828" t="s">
        <v>1941</v>
      </c>
      <c r="B30" s="2711" t="s">
        <v>2630</v>
      </c>
      <c r="C30" s="668">
        <f ca="1">ROUND((C21+C22+C23)*F28,0)</f>
        <v>2</v>
      </c>
      <c r="D30" s="660"/>
      <c r="E30" s="661"/>
      <c r="F30" s="666"/>
      <c r="G30" s="471"/>
      <c r="H30" s="1836"/>
      <c r="I30" s="1836"/>
      <c r="J30" s="1836"/>
      <c r="K30" s="1837"/>
    </row>
    <row r="31" spans="1:33" s="1832" customFormat="1" ht="13.5" customHeight="1" thickBot="1">
      <c r="A31" s="1863" t="s">
        <v>1925</v>
      </c>
      <c r="B31" s="1864" t="s">
        <v>910</v>
      </c>
      <c r="C31" s="1865">
        <f>ROUND(C4*F31/(1+'数据-取费表'!C42),0)</f>
        <v>0</v>
      </c>
      <c r="D31" s="1866"/>
      <c r="E31" s="1867"/>
      <c r="F31" s="1868">
        <f>'数据-取费表'!B41</f>
        <v>5.5000000000000007E-2</v>
      </c>
      <c r="G31" s="1869" t="s">
        <v>911</v>
      </c>
      <c r="H31" s="1870"/>
      <c r="I31" s="1870"/>
      <c r="J31" s="1870"/>
      <c r="K31" s="1871"/>
    </row>
    <row r="32" spans="1:33" s="1827" customFormat="1" ht="13.5" customHeight="1" thickBot="1">
      <c r="A32" s="1858" t="s">
        <v>2962</v>
      </c>
      <c r="B32" s="1859"/>
      <c r="C32" s="1860">
        <f ca="1">ROUND((C4-C21-C22-C23-C25-C28-C31)/(1+C24+D25+D28),0)</f>
        <v>-22</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4" zoomScale="80" zoomScaleNormal="80" workbookViewId="0">
      <selection activeCell="J66" sqref="J66:J68"/>
    </sheetView>
  </sheetViews>
  <sheetFormatPr defaultRowHeight="14.25"/>
  <cols>
    <col min="1" max="1" width="14.375" style="746" customWidth="1"/>
    <col min="2" max="2" width="15.75" style="746" customWidth="1"/>
    <col min="3" max="3" width="18.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f>F61</f>
        <v>695</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f>ROUND(IF(D3="",B2*10000/'数据-汇总表'!E3,B2*10000/D3),0)</f>
        <v>346</v>
      </c>
      <c r="C3" s="579" t="s">
        <v>2901</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545" t="s">
        <v>392</v>
      </c>
      <c r="D4" s="3546"/>
      <c r="E4" s="3547" t="s">
        <v>393</v>
      </c>
      <c r="F4" s="3548"/>
      <c r="G4" s="3545" t="s">
        <v>394</v>
      </c>
      <c r="H4" s="3546"/>
      <c r="I4" s="3545" t="s">
        <v>395</v>
      </c>
      <c r="J4" s="3546"/>
      <c r="K4" s="953" t="s">
        <v>396</v>
      </c>
      <c r="L4" s="2350"/>
      <c r="M4" s="2351"/>
      <c r="N4" s="2351"/>
      <c r="O4" s="2351"/>
      <c r="P4" s="3549" t="s">
        <v>397</v>
      </c>
      <c r="Q4" s="3550"/>
      <c r="R4" s="3564" t="s">
        <v>393</v>
      </c>
      <c r="S4" s="3565"/>
      <c r="T4" s="3564" t="s">
        <v>394</v>
      </c>
      <c r="U4" s="3565"/>
      <c r="V4" s="3537" t="s">
        <v>395</v>
      </c>
      <c r="W4" s="3537"/>
      <c r="X4" s="1318"/>
      <c r="Y4" s="3564" t="s">
        <v>397</v>
      </c>
      <c r="Z4" s="3565"/>
      <c r="AA4" s="3542" t="s">
        <v>393</v>
      </c>
      <c r="AB4" s="3543" t="s">
        <v>394</v>
      </c>
      <c r="AC4" s="3542" t="s">
        <v>395</v>
      </c>
    </row>
    <row r="5" spans="1:29" ht="38.25" customHeight="1">
      <c r="A5" s="747"/>
      <c r="B5" s="748"/>
      <c r="C5" s="3568" t="s">
        <v>1134</v>
      </c>
      <c r="D5" s="3569"/>
      <c r="E5" s="3555" t="str">
        <f>案例!A1</f>
        <v>察哈尔大街东侧、兴业燃气北侧(河北省张家口市张北县 )</v>
      </c>
      <c r="F5" s="3556"/>
      <c r="G5" s="3568" t="str">
        <f>案例!A25</f>
        <v>察哈尔大街东侧、兴业燃气北侧(河北省张家口市张北县 )</v>
      </c>
      <c r="H5" s="3569"/>
      <c r="I5" s="3568" t="str">
        <f>案例!A50</f>
        <v>安固里大道北侧、土黄线西180米处(河北省张家口市张北县 )</v>
      </c>
      <c r="J5" s="3569"/>
      <c r="K5" s="953"/>
      <c r="L5" s="2350"/>
      <c r="M5" s="2351"/>
      <c r="N5" s="2351"/>
      <c r="O5" s="2351"/>
      <c r="P5" s="3551"/>
      <c r="Q5" s="3552"/>
      <c r="R5" s="3566"/>
      <c r="S5" s="3567"/>
      <c r="T5" s="3566"/>
      <c r="U5" s="3567"/>
      <c r="V5" s="3537"/>
      <c r="W5" s="3537"/>
      <c r="X5" s="1318"/>
      <c r="Y5" s="3566"/>
      <c r="Z5" s="3567"/>
      <c r="AA5" s="3543"/>
      <c r="AB5" s="3543"/>
      <c r="AC5" s="3543"/>
    </row>
    <row r="6" spans="1:29" ht="15.75" thickBot="1">
      <c r="A6" s="749"/>
      <c r="B6" s="750"/>
      <c r="C6" s="3570" t="s">
        <v>1137</v>
      </c>
      <c r="D6" s="3571"/>
      <c r="E6" s="3573" t="s">
        <v>1137</v>
      </c>
      <c r="F6" s="3574"/>
      <c r="G6" s="3570" t="s">
        <v>1137</v>
      </c>
      <c r="H6" s="3571"/>
      <c r="I6" s="3570" t="s">
        <v>1137</v>
      </c>
      <c r="J6" s="3571"/>
      <c r="K6" s="953" t="s">
        <v>398</v>
      </c>
      <c r="L6" s="2350"/>
      <c r="M6" s="2351"/>
      <c r="N6" s="2351"/>
      <c r="O6" s="2351"/>
      <c r="P6" s="3553"/>
      <c r="Q6" s="3554"/>
      <c r="R6" s="3566"/>
      <c r="S6" s="3567"/>
      <c r="T6" s="3575"/>
      <c r="U6" s="3576"/>
      <c r="V6" s="3537"/>
      <c r="W6" s="3537"/>
      <c r="X6" s="1318"/>
      <c r="Y6" s="3575"/>
      <c r="Z6" s="3576"/>
      <c r="AA6" s="3544"/>
      <c r="AB6" s="3544"/>
      <c r="AC6" s="3544"/>
    </row>
    <row r="7" spans="1:29" s="407" customFormat="1" ht="15.75" thickBot="1">
      <c r="A7" s="751" t="s">
        <v>399</v>
      </c>
      <c r="B7" s="752"/>
      <c r="C7" s="753">
        <f>'数据-取费表'!B2</f>
        <v>42921</v>
      </c>
      <c r="D7" s="754">
        <v>100</v>
      </c>
      <c r="E7" s="1017">
        <f>案例!F5</f>
        <v>42825</v>
      </c>
      <c r="F7" s="756">
        <f>SUMIF(65:65,YEAR(E7)&amp;"-"&amp;INT((MONTH(E7)+2)/3),66:66)</f>
        <v>99</v>
      </c>
      <c r="G7" s="1018">
        <f>案例!F29</f>
        <v>42740</v>
      </c>
      <c r="H7" s="754">
        <f>SUMIF(65:65,YEAR(G7)&amp;"-"&amp;INT((MONTH(G7)+2)/3),66:66)</f>
        <v>99</v>
      </c>
      <c r="I7" s="1018">
        <f>案例!F54</f>
        <v>42587</v>
      </c>
      <c r="J7" s="754">
        <f>SUMIF(65:65,YEAR(I7)&amp;"-"&amp;INT((MONTH(I7)+2)/3),66:66)</f>
        <v>98</v>
      </c>
      <c r="K7" s="954"/>
      <c r="L7" s="2352"/>
      <c r="M7" s="2353"/>
      <c r="N7" s="2353"/>
      <c r="O7" s="2353"/>
      <c r="P7" s="3557" t="s">
        <v>400</v>
      </c>
      <c r="Q7" s="3572"/>
      <c r="R7" s="1319" t="s">
        <v>65</v>
      </c>
      <c r="S7" s="1320">
        <f t="shared" ref="S7:S15" si="0">F7</f>
        <v>99</v>
      </c>
      <c r="T7" s="1319" t="s">
        <v>65</v>
      </c>
      <c r="U7" s="1320">
        <f t="shared" ref="U7:U15" si="1">H7</f>
        <v>99</v>
      </c>
      <c r="V7" s="1319" t="s">
        <v>65</v>
      </c>
      <c r="W7" s="1320">
        <f t="shared" ref="W7:W15" si="2">J7</f>
        <v>98</v>
      </c>
      <c r="X7" s="1321"/>
      <c r="Y7" s="3557" t="s">
        <v>400</v>
      </c>
      <c r="Z7" s="3558"/>
      <c r="AA7" s="1322">
        <f>D7/F7</f>
        <v>1.0101010101010102</v>
      </c>
      <c r="AB7" s="1322">
        <f>D7/H7</f>
        <v>1.0101010101010102</v>
      </c>
      <c r="AC7" s="1322">
        <f>D7/J7</f>
        <v>1.0204081632653061</v>
      </c>
    </row>
    <row r="8" spans="1:29" s="407" customFormat="1" ht="15.75" thickBot="1">
      <c r="A8" s="751" t="s">
        <v>401</v>
      </c>
      <c r="B8" s="752"/>
      <c r="C8" s="1020" t="s">
        <v>155</v>
      </c>
      <c r="D8" s="754">
        <v>100</v>
      </c>
      <c r="E8" s="1020" t="s">
        <v>155</v>
      </c>
      <c r="F8" s="756">
        <f>SUMIF(68:68,E8,69:69)-SUMIF(68:68,C8,69:69)+100</f>
        <v>100</v>
      </c>
      <c r="G8" s="1020" t="s">
        <v>155</v>
      </c>
      <c r="H8" s="754">
        <f>SUMIF(68:68,G8,69:69)-SUMIF(68:68,C8,69:69)+100</f>
        <v>100</v>
      </c>
      <c r="I8" s="1020" t="s">
        <v>155</v>
      </c>
      <c r="J8" s="754">
        <f>SUMIF(68:68,I8,69:69)-SUMIF(68:68,C8,69:69)+100</f>
        <v>100</v>
      </c>
      <c r="K8" s="954"/>
      <c r="L8" s="2352"/>
      <c r="M8" s="2353"/>
      <c r="N8" s="2353"/>
      <c r="O8" s="2353"/>
      <c r="P8" s="3557" t="s">
        <v>436</v>
      </c>
      <c r="Q8" s="3558"/>
      <c r="R8" s="1319" t="s">
        <v>65</v>
      </c>
      <c r="S8" s="1320">
        <f t="shared" si="0"/>
        <v>100</v>
      </c>
      <c r="T8" s="1319" t="s">
        <v>65</v>
      </c>
      <c r="U8" s="1320">
        <f t="shared" si="1"/>
        <v>100</v>
      </c>
      <c r="V8" s="1319" t="s">
        <v>65</v>
      </c>
      <c r="W8" s="1320">
        <f t="shared" si="2"/>
        <v>100</v>
      </c>
      <c r="X8" s="1321"/>
      <c r="Y8" s="3557" t="s">
        <v>436</v>
      </c>
      <c r="Z8" s="3558"/>
      <c r="AA8" s="1322">
        <f t="shared" ref="AA8:AA40" si="3">D8/F8</f>
        <v>1</v>
      </c>
      <c r="AB8" s="1322">
        <f t="shared" ref="AB8:AB40" si="4">D8/H8</f>
        <v>1</v>
      </c>
      <c r="AC8" s="1322">
        <f t="shared" ref="AC8:AC40" si="5">D8/J8</f>
        <v>1</v>
      </c>
    </row>
    <row r="9" spans="1:29" s="407" customFormat="1">
      <c r="A9" s="758" t="s">
        <v>402</v>
      </c>
      <c r="B9" s="361" t="s">
        <v>420</v>
      </c>
      <c r="C9" s="1022" t="s">
        <v>39</v>
      </c>
      <c r="D9" s="425">
        <v>100</v>
      </c>
      <c r="E9" s="1022" t="s">
        <v>39</v>
      </c>
      <c r="F9" s="425">
        <f>SUMIF(70:70,E9,71:71)-SUMIF(70:70,C9,71:71)+100</f>
        <v>100</v>
      </c>
      <c r="G9" s="1022" t="s">
        <v>39</v>
      </c>
      <c r="H9" s="425">
        <f>SUMIF(70:70,G9,71:71)-SUMIF(70:70,C9,71:71)+100</f>
        <v>100</v>
      </c>
      <c r="I9" s="1022" t="s">
        <v>39</v>
      </c>
      <c r="J9" s="425">
        <f>SUMIF(70:70,I9,71:71)-SUMIF(70:70,C9,71:71)+100</f>
        <v>100</v>
      </c>
      <c r="K9" s="954"/>
      <c r="L9" s="2352"/>
      <c r="M9" s="2353"/>
      <c r="N9" s="2353"/>
      <c r="O9" s="2354"/>
      <c r="P9" s="3535" t="s">
        <v>403</v>
      </c>
      <c r="Q9" s="296" t="str">
        <f t="shared" ref="Q9:Q15" si="6">B9</f>
        <v>用途</v>
      </c>
      <c r="R9" s="1319" t="s">
        <v>65</v>
      </c>
      <c r="S9" s="1320">
        <f t="shared" si="0"/>
        <v>100</v>
      </c>
      <c r="T9" s="1319" t="s">
        <v>65</v>
      </c>
      <c r="U9" s="1320">
        <f t="shared" si="1"/>
        <v>100</v>
      </c>
      <c r="V9" s="1319" t="s">
        <v>65</v>
      </c>
      <c r="W9" s="1320">
        <f t="shared" si="2"/>
        <v>100</v>
      </c>
      <c r="X9" s="1321"/>
      <c r="Y9" s="3512" t="s">
        <v>404</v>
      </c>
      <c r="Z9" s="344" t="str">
        <f t="shared" ref="Z9:Z15" si="7">Q9</f>
        <v>用途</v>
      </c>
      <c r="AA9" s="1322">
        <f t="shared" si="3"/>
        <v>1</v>
      </c>
      <c r="AB9" s="1322">
        <f t="shared" si="4"/>
        <v>1</v>
      </c>
      <c r="AC9" s="1322">
        <f t="shared" si="5"/>
        <v>1</v>
      </c>
    </row>
    <row r="10" spans="1:29" s="770" customFormat="1" ht="27">
      <c r="A10" s="764"/>
      <c r="B10" s="765" t="s">
        <v>405</v>
      </c>
      <c r="C10" s="1024" t="s">
        <v>3173</v>
      </c>
      <c r="D10" s="426">
        <v>100</v>
      </c>
      <c r="E10" s="1024">
        <v>50</v>
      </c>
      <c r="F10" s="426">
        <f>ROUND(100/'数据-取费表'!G16,0)</f>
        <v>113</v>
      </c>
      <c r="G10" s="1024">
        <v>50</v>
      </c>
      <c r="H10" s="426">
        <f>ROUND(100/'数据-取费表'!G16,0)</f>
        <v>113</v>
      </c>
      <c r="I10" s="1024">
        <v>50</v>
      </c>
      <c r="J10" s="426">
        <f>ROUND(100/'数据-取费表'!G16,0)</f>
        <v>113</v>
      </c>
      <c r="K10" s="1081"/>
      <c r="L10" s="2355"/>
      <c r="M10" s="2356"/>
      <c r="N10" s="2356"/>
      <c r="O10" s="2357"/>
      <c r="P10" s="3535"/>
      <c r="Q10" s="296" t="str">
        <f t="shared" si="6"/>
        <v>土地使用年限（年）</v>
      </c>
      <c r="R10" s="1319" t="s">
        <v>65</v>
      </c>
      <c r="S10" s="1320">
        <f t="shared" si="0"/>
        <v>113</v>
      </c>
      <c r="T10" s="1319" t="s">
        <v>65</v>
      </c>
      <c r="U10" s="1320">
        <f t="shared" si="1"/>
        <v>113</v>
      </c>
      <c r="V10" s="1319" t="s">
        <v>65</v>
      </c>
      <c r="W10" s="1320">
        <f t="shared" si="2"/>
        <v>113</v>
      </c>
      <c r="X10" s="1321"/>
      <c r="Y10" s="3512"/>
      <c r="Z10" s="344" t="str">
        <f t="shared" si="7"/>
        <v>土地使用年限（年）</v>
      </c>
      <c r="AA10" s="1322">
        <f t="shared" si="3"/>
        <v>0.88495575221238942</v>
      </c>
      <c r="AB10" s="1322">
        <f t="shared" si="4"/>
        <v>0.88495575221238942</v>
      </c>
      <c r="AC10" s="1322">
        <f t="shared" si="5"/>
        <v>0.88495575221238942</v>
      </c>
    </row>
    <row r="11" spans="1:29" ht="15">
      <c r="A11" s="771"/>
      <c r="B11" s="765" t="s">
        <v>406</v>
      </c>
      <c r="C11" s="772">
        <v>0.38</v>
      </c>
      <c r="D11" s="426">
        <v>100</v>
      </c>
      <c r="E11" s="772">
        <v>1.2</v>
      </c>
      <c r="F11" s="426">
        <f>LOOKUP(E11,75:75,76:76)-LOOKUP(C11,75:75,76:76)+100</f>
        <v>103</v>
      </c>
      <c r="G11" s="773">
        <v>1.5</v>
      </c>
      <c r="H11" s="426">
        <f>LOOKUP(G11,75:75,76:76)-LOOKUP(C11,75:75,76:76)+100</f>
        <v>103</v>
      </c>
      <c r="I11" s="772">
        <v>1.2</v>
      </c>
      <c r="J11" s="426">
        <f>LOOKUP(I11,75:75,76:76)-LOOKUP(C11,75:75,76:76)+100</f>
        <v>103</v>
      </c>
      <c r="K11" s="1082">
        <v>3</v>
      </c>
      <c r="L11" s="2358"/>
      <c r="M11" s="2351"/>
      <c r="N11" s="2351"/>
      <c r="O11" s="2359"/>
      <c r="P11" s="3535"/>
      <c r="Q11" s="296" t="str">
        <f t="shared" si="6"/>
        <v>容积率</v>
      </c>
      <c r="R11" s="1319" t="s">
        <v>65</v>
      </c>
      <c r="S11" s="1320">
        <f t="shared" si="0"/>
        <v>103</v>
      </c>
      <c r="T11" s="1319" t="s">
        <v>65</v>
      </c>
      <c r="U11" s="1320">
        <f t="shared" si="1"/>
        <v>103</v>
      </c>
      <c r="V11" s="1319" t="s">
        <v>65</v>
      </c>
      <c r="W11" s="1320">
        <f t="shared" si="2"/>
        <v>103</v>
      </c>
      <c r="X11" s="1321"/>
      <c r="Y11" s="3512"/>
      <c r="Z11" s="344" t="str">
        <f t="shared" si="7"/>
        <v>容积率</v>
      </c>
      <c r="AA11" s="1322">
        <f t="shared" si="3"/>
        <v>0.970873786407767</v>
      </c>
      <c r="AB11" s="1322">
        <f t="shared" si="4"/>
        <v>0.970873786407767</v>
      </c>
      <c r="AC11" s="1322">
        <f t="shared" si="5"/>
        <v>0.970873786407767</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535"/>
      <c r="Q12" s="296">
        <f t="shared" si="6"/>
        <v>111</v>
      </c>
      <c r="R12" s="1319" t="s">
        <v>65</v>
      </c>
      <c r="S12" s="1320">
        <f t="shared" si="0"/>
        <v>100</v>
      </c>
      <c r="T12" s="1319" t="s">
        <v>65</v>
      </c>
      <c r="U12" s="1320">
        <f t="shared" si="1"/>
        <v>100</v>
      </c>
      <c r="V12" s="1319" t="s">
        <v>65</v>
      </c>
      <c r="W12" s="1320">
        <f t="shared" si="2"/>
        <v>100</v>
      </c>
      <c r="X12" s="1321"/>
      <c r="Y12" s="3512"/>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535"/>
      <c r="Q13" s="296">
        <f t="shared" si="6"/>
        <v>111</v>
      </c>
      <c r="R13" s="1319" t="s">
        <v>65</v>
      </c>
      <c r="S13" s="1320">
        <f t="shared" si="0"/>
        <v>100</v>
      </c>
      <c r="T13" s="1319" t="s">
        <v>65</v>
      </c>
      <c r="U13" s="1320">
        <f t="shared" si="1"/>
        <v>100</v>
      </c>
      <c r="V13" s="1319" t="s">
        <v>65</v>
      </c>
      <c r="W13" s="1320">
        <f t="shared" si="2"/>
        <v>100</v>
      </c>
      <c r="X13" s="1321"/>
      <c r="Y13" s="3512"/>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535"/>
      <c r="Q14" s="296">
        <f t="shared" si="6"/>
        <v>111</v>
      </c>
      <c r="R14" s="1319" t="s">
        <v>65</v>
      </c>
      <c r="S14" s="1320">
        <f t="shared" si="0"/>
        <v>100</v>
      </c>
      <c r="T14" s="1319" t="s">
        <v>65</v>
      </c>
      <c r="U14" s="1320">
        <f t="shared" si="1"/>
        <v>100</v>
      </c>
      <c r="V14" s="1319" t="s">
        <v>65</v>
      </c>
      <c r="W14" s="1320">
        <f t="shared" si="2"/>
        <v>100</v>
      </c>
      <c r="X14" s="1321"/>
      <c r="Y14" s="3512"/>
      <c r="Z14" s="344">
        <f t="shared" si="7"/>
        <v>111</v>
      </c>
      <c r="AA14" s="1322">
        <f t="shared" si="3"/>
        <v>1</v>
      </c>
      <c r="AB14" s="1322">
        <f t="shared" si="4"/>
        <v>1</v>
      </c>
      <c r="AC14" s="1322">
        <f t="shared" si="5"/>
        <v>1</v>
      </c>
    </row>
    <row r="15" spans="1:29" ht="40.5">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v>3</v>
      </c>
      <c r="L15" s="2360"/>
      <c r="M15" s="2351"/>
      <c r="N15" s="2351"/>
      <c r="O15" s="2359"/>
      <c r="P15" s="3538" t="s">
        <v>408</v>
      </c>
      <c r="Q15" s="1323" t="str">
        <f t="shared" si="6"/>
        <v>产业集聚程度</v>
      </c>
      <c r="R15" s="1324" t="s">
        <v>65</v>
      </c>
      <c r="S15" s="1325">
        <f t="shared" si="0"/>
        <v>100</v>
      </c>
      <c r="T15" s="1324" t="s">
        <v>65</v>
      </c>
      <c r="U15" s="1325">
        <f t="shared" si="1"/>
        <v>100</v>
      </c>
      <c r="V15" s="1324" t="s">
        <v>65</v>
      </c>
      <c r="W15" s="1325">
        <f t="shared" si="2"/>
        <v>100</v>
      </c>
      <c r="X15" s="1318"/>
      <c r="Y15" s="3538" t="s">
        <v>408</v>
      </c>
      <c r="Z15" s="1326" t="str">
        <f t="shared" si="7"/>
        <v>产业集聚程度</v>
      </c>
      <c r="AA15" s="1327">
        <f t="shared" si="3"/>
        <v>1</v>
      </c>
      <c r="AB15" s="1327">
        <f t="shared" si="4"/>
        <v>1</v>
      </c>
      <c r="AC15" s="1327">
        <f t="shared" si="5"/>
        <v>1</v>
      </c>
    </row>
    <row r="16" spans="1:29" ht="15">
      <c r="A16" s="771"/>
      <c r="B16" s="973"/>
      <c r="C16" s="97" t="s">
        <v>3140</v>
      </c>
      <c r="D16" s="791"/>
      <c r="E16" s="192" t="s">
        <v>3140</v>
      </c>
      <c r="F16" s="791"/>
      <c r="G16" s="192" t="s">
        <v>3140</v>
      </c>
      <c r="H16" s="793"/>
      <c r="I16" s="192" t="s">
        <v>3140</v>
      </c>
      <c r="J16" s="791"/>
      <c r="K16" s="1081"/>
      <c r="L16" s="2360"/>
      <c r="M16" s="2351"/>
      <c r="N16" s="2351"/>
      <c r="O16" s="2359"/>
      <c r="P16" s="3539"/>
      <c r="Q16" s="1323"/>
      <c r="R16" s="1324"/>
      <c r="S16" s="1325"/>
      <c r="T16" s="1324"/>
      <c r="U16" s="1325"/>
      <c r="V16" s="1324"/>
      <c r="W16" s="1325"/>
      <c r="X16" s="1318"/>
      <c r="Y16" s="3539"/>
      <c r="Z16" s="1326"/>
      <c r="AA16" s="1327">
        <v>1</v>
      </c>
      <c r="AB16" s="1327">
        <v>1</v>
      </c>
      <c r="AC16" s="1327">
        <v>1</v>
      </c>
    </row>
    <row r="17" spans="1:29" ht="67.5">
      <c r="A17" s="771"/>
      <c r="B17" s="974" t="s">
        <v>457</v>
      </c>
      <c r="C17" s="158" t="str">
        <f>估价对象房地状况!G16</f>
        <v>估价对象周边道路状况、公共交通通达情况、停车便捷程度，综合评价交通便捷度较好</v>
      </c>
      <c r="D17" s="793">
        <v>100</v>
      </c>
      <c r="E17" s="100"/>
      <c r="F17" s="798">
        <f>SUMIF(85:85,E18,86:86)-SUMIF(85:85,C18,86:86)+100</f>
        <v>102</v>
      </c>
      <c r="G17" s="100"/>
      <c r="H17" s="798">
        <f>SUMIF(85:85,G18,86:86)-SUMIF(85:85,C18,86:86)+100</f>
        <v>102</v>
      </c>
      <c r="I17" s="101"/>
      <c r="J17" s="793">
        <f>SUMIF(85:85,I18,86:86)-SUMIF(85:85,C18,86:86)+100</f>
        <v>102</v>
      </c>
      <c r="K17" s="1082">
        <v>2</v>
      </c>
      <c r="L17" s="2360"/>
      <c r="M17" s="2351"/>
      <c r="N17" s="2351"/>
      <c r="O17" s="2359"/>
      <c r="P17" s="3539"/>
      <c r="Q17" s="1323" t="str">
        <f>B17</f>
        <v>交通便捷度</v>
      </c>
      <c r="R17" s="1324" t="s">
        <v>65</v>
      </c>
      <c r="S17" s="1325">
        <f>F17</f>
        <v>102</v>
      </c>
      <c r="T17" s="1324" t="s">
        <v>65</v>
      </c>
      <c r="U17" s="1325">
        <f>H17</f>
        <v>102</v>
      </c>
      <c r="V17" s="1324" t="s">
        <v>65</v>
      </c>
      <c r="W17" s="1325">
        <f>J17</f>
        <v>102</v>
      </c>
      <c r="X17" s="1318"/>
      <c r="Y17" s="3539"/>
      <c r="Z17" s="1326" t="str">
        <f>Q17</f>
        <v>交通便捷度</v>
      </c>
      <c r="AA17" s="1327">
        <f t="shared" si="3"/>
        <v>0.98039215686274506</v>
      </c>
      <c r="AB17" s="1327">
        <f t="shared" si="4"/>
        <v>0.98039215686274506</v>
      </c>
      <c r="AC17" s="1327">
        <f t="shared" si="5"/>
        <v>0.98039215686274506</v>
      </c>
    </row>
    <row r="18" spans="1:29" ht="15">
      <c r="A18" s="771"/>
      <c r="B18" s="975"/>
      <c r="C18" s="97" t="s">
        <v>3141</v>
      </c>
      <c r="D18" s="791"/>
      <c r="E18" s="98" t="s">
        <v>3140</v>
      </c>
      <c r="F18" s="791"/>
      <c r="G18" s="98" t="s">
        <v>3140</v>
      </c>
      <c r="H18" s="791"/>
      <c r="I18" s="99" t="s">
        <v>3140</v>
      </c>
      <c r="J18" s="791"/>
      <c r="K18" s="1081"/>
      <c r="L18" s="2360"/>
      <c r="M18" s="2351"/>
      <c r="N18" s="2351"/>
      <c r="O18" s="2359"/>
      <c r="P18" s="3539"/>
      <c r="Q18" s="1323"/>
      <c r="R18" s="1324"/>
      <c r="S18" s="1325"/>
      <c r="T18" s="1324"/>
      <c r="U18" s="1325"/>
      <c r="V18" s="1324"/>
      <c r="W18" s="1325"/>
      <c r="X18" s="1318"/>
      <c r="Y18" s="3539"/>
      <c r="Z18" s="1326"/>
      <c r="AA18" s="1327">
        <v>1</v>
      </c>
      <c r="AB18" s="1327">
        <v>1</v>
      </c>
      <c r="AC18" s="1327">
        <v>1</v>
      </c>
    </row>
    <row r="19" spans="1:29" ht="27">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v>2</v>
      </c>
      <c r="L19" s="2360"/>
      <c r="M19" s="2351"/>
      <c r="N19" s="2351"/>
      <c r="O19" s="2359"/>
      <c r="P19" s="3539"/>
      <c r="Q19" s="1323" t="str">
        <f t="shared" ref="Q19:Q33" si="8">B19</f>
        <v>区域土地利用方向</v>
      </c>
      <c r="R19" s="1324" t="s">
        <v>65</v>
      </c>
      <c r="S19" s="1325">
        <f>F19</f>
        <v>100</v>
      </c>
      <c r="T19" s="1324" t="s">
        <v>65</v>
      </c>
      <c r="U19" s="1325">
        <f>H19</f>
        <v>100</v>
      </c>
      <c r="V19" s="1324" t="s">
        <v>65</v>
      </c>
      <c r="W19" s="1325">
        <f>J19</f>
        <v>100</v>
      </c>
      <c r="X19" s="1318"/>
      <c r="Y19" s="3539"/>
      <c r="Z19" s="1326" t="str">
        <f>Q19</f>
        <v>区域土地利用方向</v>
      </c>
      <c r="AA19" s="1327">
        <f t="shared" si="3"/>
        <v>1</v>
      </c>
      <c r="AB19" s="1327">
        <f t="shared" si="4"/>
        <v>1</v>
      </c>
      <c r="AC19" s="1327">
        <f t="shared" si="5"/>
        <v>1</v>
      </c>
    </row>
    <row r="20" spans="1:29" ht="15">
      <c r="A20" s="747"/>
      <c r="B20" s="975"/>
      <c r="C20" s="97" t="s">
        <v>3140</v>
      </c>
      <c r="D20" s="791"/>
      <c r="E20" s="98" t="s">
        <v>3140</v>
      </c>
      <c r="F20" s="791"/>
      <c r="G20" s="98" t="s">
        <v>3140</v>
      </c>
      <c r="H20" s="791"/>
      <c r="I20" s="98" t="s">
        <v>3140</v>
      </c>
      <c r="J20" s="791"/>
      <c r="K20" s="1486"/>
      <c r="L20" s="2360"/>
      <c r="M20" s="2351"/>
      <c r="N20" s="2351"/>
      <c r="O20" s="2359"/>
      <c r="P20" s="3539"/>
      <c r="Q20" s="1470"/>
      <c r="R20" s="1324"/>
      <c r="S20" s="1325"/>
      <c r="T20" s="1324"/>
      <c r="U20" s="1325"/>
      <c r="V20" s="1324"/>
      <c r="W20" s="1325"/>
      <c r="X20" s="1469"/>
      <c r="Y20" s="3539"/>
      <c r="Z20" s="1471"/>
      <c r="AA20" s="1327"/>
      <c r="AB20" s="1327"/>
      <c r="AC20" s="1327"/>
    </row>
    <row r="21" spans="1:29" ht="54">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v>2</v>
      </c>
      <c r="L21" s="2360"/>
      <c r="M21" s="2351"/>
      <c r="N21" s="2351"/>
      <c r="O21" s="2359"/>
      <c r="P21" s="3539"/>
      <c r="Q21" s="1323" t="str">
        <f t="shared" si="8"/>
        <v>环境状况</v>
      </c>
      <c r="R21" s="1324" t="s">
        <v>65</v>
      </c>
      <c r="S21" s="1325">
        <f>F21</f>
        <v>100</v>
      </c>
      <c r="T21" s="1324" t="s">
        <v>65</v>
      </c>
      <c r="U21" s="1325">
        <f>H21</f>
        <v>100</v>
      </c>
      <c r="V21" s="1324" t="s">
        <v>65</v>
      </c>
      <c r="W21" s="1325">
        <f>J21</f>
        <v>100</v>
      </c>
      <c r="X21" s="1318"/>
      <c r="Y21" s="3539"/>
      <c r="Z21" s="1326" t="str">
        <f>Q21</f>
        <v>环境状况</v>
      </c>
      <c r="AA21" s="1327">
        <f t="shared" si="3"/>
        <v>1</v>
      </c>
      <c r="AB21" s="1327">
        <f t="shared" si="4"/>
        <v>1</v>
      </c>
      <c r="AC21" s="1327">
        <f t="shared" si="5"/>
        <v>1</v>
      </c>
    </row>
    <row r="22" spans="1:29" ht="15">
      <c r="A22" s="747"/>
      <c r="B22" s="975"/>
      <c r="C22" s="97" t="s">
        <v>3142</v>
      </c>
      <c r="D22" s="791"/>
      <c r="E22" s="192" t="s">
        <v>3142</v>
      </c>
      <c r="F22" s="791"/>
      <c r="G22" s="192" t="s">
        <v>3142</v>
      </c>
      <c r="H22" s="791"/>
      <c r="I22" s="97" t="s">
        <v>3142</v>
      </c>
      <c r="J22" s="791"/>
      <c r="K22" s="1081"/>
      <c r="L22" s="2360"/>
      <c r="M22" s="2351"/>
      <c r="N22" s="2351"/>
      <c r="O22" s="2359"/>
      <c r="P22" s="3539"/>
      <c r="Q22" s="1323"/>
      <c r="R22" s="1324"/>
      <c r="S22" s="1325"/>
      <c r="T22" s="1324"/>
      <c r="U22" s="1325"/>
      <c r="V22" s="1324"/>
      <c r="W22" s="1325"/>
      <c r="X22" s="1318"/>
      <c r="Y22" s="3539"/>
      <c r="Z22" s="1326"/>
      <c r="AA22" s="1327">
        <v>1</v>
      </c>
      <c r="AB22" s="1327">
        <v>1</v>
      </c>
      <c r="AC22" s="1327">
        <v>1</v>
      </c>
    </row>
    <row r="23" spans="1:29" s="407" customFormat="1" ht="27">
      <c r="A23" s="992"/>
      <c r="B23" s="1036" t="s">
        <v>2681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v>2</v>
      </c>
      <c r="L23" s="2352"/>
      <c r="M23" s="2353"/>
      <c r="N23" s="2353"/>
      <c r="O23" s="2354"/>
      <c r="P23" s="3539"/>
      <c r="Q23" s="296" t="str">
        <f t="shared" si="8"/>
        <v>公共配套设施</v>
      </c>
      <c r="R23" s="1319" t="s">
        <v>65</v>
      </c>
      <c r="S23" s="1320">
        <f>F23</f>
        <v>100</v>
      </c>
      <c r="T23" s="1319" t="s">
        <v>65</v>
      </c>
      <c r="U23" s="1320">
        <f>H23</f>
        <v>100</v>
      </c>
      <c r="V23" s="1319" t="s">
        <v>65</v>
      </c>
      <c r="W23" s="1320">
        <f>J23</f>
        <v>100</v>
      </c>
      <c r="X23" s="1321"/>
      <c r="Y23" s="3539"/>
      <c r="Z23" s="344" t="str">
        <f>Q23</f>
        <v>公共配套设施</v>
      </c>
      <c r="AA23" s="1327">
        <f>D23/F23</f>
        <v>1</v>
      </c>
      <c r="AB23" s="1327">
        <f>D23/H23</f>
        <v>1</v>
      </c>
      <c r="AC23" s="1327">
        <f>D23/J23</f>
        <v>1</v>
      </c>
    </row>
    <row r="24" spans="1:29" s="407" customFormat="1" ht="15">
      <c r="A24" s="992"/>
      <c r="B24" s="975"/>
      <c r="C24" s="2777" t="s">
        <v>3140</v>
      </c>
      <c r="D24" s="791"/>
      <c r="E24" s="192" t="s">
        <v>3140</v>
      </c>
      <c r="F24" s="791"/>
      <c r="G24" s="192" t="s">
        <v>3140</v>
      </c>
      <c r="H24" s="791"/>
      <c r="I24" s="97" t="s">
        <v>3140</v>
      </c>
      <c r="J24" s="791"/>
      <c r="K24" s="1081"/>
      <c r="L24" s="2352"/>
      <c r="M24" s="2353"/>
      <c r="N24" s="2353"/>
      <c r="O24" s="2354"/>
      <c r="P24" s="3539"/>
      <c r="Q24" s="296"/>
      <c r="R24" s="1319"/>
      <c r="S24" s="1320"/>
      <c r="T24" s="1319"/>
      <c r="U24" s="1320"/>
      <c r="V24" s="1319"/>
      <c r="W24" s="1320"/>
      <c r="X24" s="1321"/>
      <c r="Y24" s="3539"/>
      <c r="Z24" s="344"/>
      <c r="AA24" s="1322">
        <v>1</v>
      </c>
      <c r="AB24" s="1322">
        <v>1</v>
      </c>
      <c r="AC24" s="1322">
        <v>1</v>
      </c>
    </row>
    <row r="25" spans="1:29" s="407" customFormat="1" ht="27">
      <c r="A25" s="992"/>
      <c r="B25" s="1036" t="s">
        <v>2682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v>2</v>
      </c>
      <c r="L25" s="2352"/>
      <c r="M25" s="2353"/>
      <c r="N25" s="2353"/>
      <c r="O25" s="2354"/>
      <c r="P25" s="3539"/>
      <c r="Q25" s="2746" t="str">
        <f t="shared" ref="Q25" si="9">B25</f>
        <v>基础设施水平</v>
      </c>
      <c r="R25" s="1319" t="s">
        <v>65</v>
      </c>
      <c r="S25" s="1320">
        <f>F25</f>
        <v>100</v>
      </c>
      <c r="T25" s="1319" t="s">
        <v>65</v>
      </c>
      <c r="U25" s="1320">
        <f>H25</f>
        <v>100</v>
      </c>
      <c r="V25" s="1319" t="s">
        <v>65</v>
      </c>
      <c r="W25" s="1320">
        <f>J25</f>
        <v>100</v>
      </c>
      <c r="X25" s="1321"/>
      <c r="Y25" s="3539"/>
      <c r="Z25" s="344" t="str">
        <f>Q25</f>
        <v>基础设施水平</v>
      </c>
      <c r="AA25" s="1327">
        <f>D25/F25</f>
        <v>1</v>
      </c>
      <c r="AB25" s="1327">
        <f>D25/H25</f>
        <v>1</v>
      </c>
      <c r="AC25" s="1327">
        <f>D25/J25</f>
        <v>1</v>
      </c>
    </row>
    <row r="26" spans="1:29" s="407" customFormat="1" ht="15">
      <c r="A26" s="992"/>
      <c r="B26" s="975"/>
      <c r="C26" s="2777" t="s">
        <v>3174</v>
      </c>
      <c r="D26" s="791"/>
      <c r="E26" s="1037" t="s">
        <v>3174</v>
      </c>
      <c r="F26" s="791"/>
      <c r="G26" s="1037" t="s">
        <v>3174</v>
      </c>
      <c r="H26" s="791"/>
      <c r="I26" s="1037" t="s">
        <v>3174</v>
      </c>
      <c r="J26" s="791"/>
      <c r="K26" s="1081"/>
      <c r="L26" s="2352"/>
      <c r="M26" s="2353"/>
      <c r="N26" s="2353"/>
      <c r="O26" s="2354"/>
      <c r="P26" s="3539"/>
      <c r="Q26" s="2746"/>
      <c r="R26" s="1319"/>
      <c r="S26" s="1320"/>
      <c r="T26" s="1319"/>
      <c r="U26" s="1320"/>
      <c r="V26" s="1319"/>
      <c r="W26" s="1320"/>
      <c r="X26" s="1321"/>
      <c r="Y26" s="3539"/>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539"/>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539"/>
      <c r="Z27" s="1326" t="str">
        <f t="shared" ref="Z27:Z40" si="13">Q27</f>
        <v>临街状况</v>
      </c>
      <c r="AA27" s="1327">
        <f t="shared" si="3"/>
        <v>1</v>
      </c>
      <c r="AB27" s="1327">
        <f t="shared" si="4"/>
        <v>1</v>
      </c>
      <c r="AC27" s="1327">
        <f t="shared" si="5"/>
        <v>1</v>
      </c>
    </row>
    <row r="28" spans="1:29" ht="27">
      <c r="A28" s="771"/>
      <c r="B28" s="976" t="s">
        <v>443</v>
      </c>
      <c r="C28" s="2778">
        <f>估价对象房地状况!G22</f>
        <v>0</v>
      </c>
      <c r="D28" s="793">
        <v>100</v>
      </c>
      <c r="E28" s="100"/>
      <c r="F28" s="793">
        <f>SUMIF(97:97,E29,98:98)-SUMIF(97:97,C29,98:98)+100</f>
        <v>96</v>
      </c>
      <c r="G28" s="100"/>
      <c r="H28" s="793">
        <f>SUMIF(97:97,G29,98:98)-SUMIF(97:97,C29,98:98)+100</f>
        <v>96</v>
      </c>
      <c r="I28" s="101"/>
      <c r="J28" s="793">
        <f>SUMIF(97:97,I29,98:98)-SUMIF(97:97,C29,98:98)+100</f>
        <v>96</v>
      </c>
      <c r="K28" s="1082">
        <v>2</v>
      </c>
      <c r="L28" s="2360"/>
      <c r="M28" s="2351"/>
      <c r="N28" s="2351"/>
      <c r="O28" s="2359"/>
      <c r="P28" s="3539"/>
      <c r="Q28" s="1323" t="str">
        <f t="shared" si="8"/>
        <v>毗邻道路的类型与等级</v>
      </c>
      <c r="R28" s="1324" t="s">
        <v>65</v>
      </c>
      <c r="S28" s="1325">
        <f t="shared" si="10"/>
        <v>96</v>
      </c>
      <c r="T28" s="1324" t="s">
        <v>65</v>
      </c>
      <c r="U28" s="1325">
        <f t="shared" si="11"/>
        <v>96</v>
      </c>
      <c r="V28" s="1324" t="s">
        <v>65</v>
      </c>
      <c r="W28" s="1325">
        <f t="shared" si="12"/>
        <v>96</v>
      </c>
      <c r="X28" s="1318"/>
      <c r="Y28" s="3539"/>
      <c r="Z28" s="1326" t="str">
        <f t="shared" si="13"/>
        <v>毗邻道路的类型与等级</v>
      </c>
      <c r="AA28" s="1327">
        <f t="shared" si="3"/>
        <v>1.0416666666666667</v>
      </c>
      <c r="AB28" s="1327">
        <f t="shared" si="4"/>
        <v>1.0416666666666667</v>
      </c>
      <c r="AC28" s="1327">
        <f t="shared" si="5"/>
        <v>1.0416666666666667</v>
      </c>
    </row>
    <row r="29" spans="1:29" ht="15">
      <c r="A29" s="771"/>
      <c r="B29" s="975"/>
      <c r="C29" s="97" t="s">
        <v>3199</v>
      </c>
      <c r="D29" s="791"/>
      <c r="E29" s="97" t="s">
        <v>3160</v>
      </c>
      <c r="F29" s="791"/>
      <c r="G29" s="97" t="s">
        <v>3160</v>
      </c>
      <c r="H29" s="791"/>
      <c r="I29" s="97" t="s">
        <v>3160</v>
      </c>
      <c r="J29" s="791"/>
      <c r="K29" s="956"/>
      <c r="L29" s="2360"/>
      <c r="M29" s="2351"/>
      <c r="N29" s="2351"/>
      <c r="O29" s="2359"/>
      <c r="P29" s="3539"/>
      <c r="Q29" s="1323"/>
      <c r="R29" s="1324"/>
      <c r="S29" s="1325"/>
      <c r="T29" s="1324"/>
      <c r="U29" s="1325"/>
      <c r="V29" s="1324"/>
      <c r="W29" s="1325"/>
      <c r="X29" s="1318"/>
      <c r="Y29" s="3539"/>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539"/>
      <c r="Q30" s="1323" t="str">
        <f t="shared" si="8"/>
        <v>土地级别</v>
      </c>
      <c r="R30" s="1324" t="s">
        <v>65</v>
      </c>
      <c r="S30" s="1325">
        <f t="shared" si="10"/>
        <v>100</v>
      </c>
      <c r="T30" s="1324" t="s">
        <v>65</v>
      </c>
      <c r="U30" s="1325">
        <f t="shared" si="11"/>
        <v>100</v>
      </c>
      <c r="V30" s="1324" t="s">
        <v>65</v>
      </c>
      <c r="W30" s="1325">
        <f t="shared" si="12"/>
        <v>100</v>
      </c>
      <c r="X30" s="1318"/>
      <c r="Y30" s="3539"/>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539"/>
      <c r="Q31" s="1323">
        <f t="shared" si="8"/>
        <v>111</v>
      </c>
      <c r="R31" s="1324" t="s">
        <v>65</v>
      </c>
      <c r="S31" s="1325">
        <f t="shared" si="10"/>
        <v>100</v>
      </c>
      <c r="T31" s="1324" t="s">
        <v>65</v>
      </c>
      <c r="U31" s="1325">
        <f t="shared" si="11"/>
        <v>100</v>
      </c>
      <c r="V31" s="1324" t="s">
        <v>65</v>
      </c>
      <c r="W31" s="1325">
        <f t="shared" si="12"/>
        <v>100</v>
      </c>
      <c r="X31" s="1318"/>
      <c r="Y31" s="3539"/>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540" t="s">
        <v>410</v>
      </c>
      <c r="Q32" s="1323">
        <f t="shared" si="8"/>
        <v>111</v>
      </c>
      <c r="R32" s="1324" t="s">
        <v>65</v>
      </c>
      <c r="S32" s="1325">
        <f t="shared" si="10"/>
        <v>100</v>
      </c>
      <c r="T32" s="1324" t="s">
        <v>65</v>
      </c>
      <c r="U32" s="1325">
        <f t="shared" si="11"/>
        <v>100</v>
      </c>
      <c r="V32" s="1324" t="s">
        <v>65</v>
      </c>
      <c r="W32" s="1325">
        <f t="shared" si="12"/>
        <v>100</v>
      </c>
      <c r="X32" s="1318"/>
      <c r="Y32" s="3541" t="s">
        <v>410</v>
      </c>
      <c r="Z32" s="1326">
        <f t="shared" si="13"/>
        <v>111</v>
      </c>
      <c r="AA32" s="1327">
        <f t="shared" si="3"/>
        <v>1</v>
      </c>
      <c r="AB32" s="1327">
        <f t="shared" si="4"/>
        <v>1</v>
      </c>
      <c r="AC32" s="1327">
        <f t="shared" si="5"/>
        <v>1</v>
      </c>
    </row>
    <row r="33" spans="1:29" s="814" customFormat="1" ht="15.75" thickBot="1">
      <c r="A33" s="1085"/>
      <c r="B33" s="330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541"/>
      <c r="Q33" s="1323">
        <f t="shared" si="8"/>
        <v>111</v>
      </c>
      <c r="R33" s="1329" t="s">
        <v>65</v>
      </c>
      <c r="S33" s="1330">
        <f t="shared" si="10"/>
        <v>100</v>
      </c>
      <c r="T33" s="1329" t="s">
        <v>65</v>
      </c>
      <c r="U33" s="1330">
        <f t="shared" si="11"/>
        <v>100</v>
      </c>
      <c r="V33" s="1329" t="s">
        <v>65</v>
      </c>
      <c r="W33" s="1330">
        <f t="shared" si="12"/>
        <v>100</v>
      </c>
      <c r="X33" s="1331"/>
      <c r="Y33" s="3541"/>
      <c r="Z33" s="1332">
        <f t="shared" si="13"/>
        <v>111</v>
      </c>
      <c r="AA33" s="1327">
        <f t="shared" si="3"/>
        <v>1</v>
      </c>
      <c r="AB33" s="1327">
        <f t="shared" si="4"/>
        <v>1</v>
      </c>
      <c r="AC33" s="1327">
        <f t="shared" si="5"/>
        <v>1</v>
      </c>
    </row>
    <row r="34" spans="1:29" ht="15">
      <c r="A34" s="783" t="s">
        <v>2808</v>
      </c>
      <c r="B34" s="799" t="s">
        <v>487</v>
      </c>
      <c r="C34" s="1088">
        <v>52242.5</v>
      </c>
      <c r="D34" s="810">
        <v>100</v>
      </c>
      <c r="E34" s="1088">
        <f>案例!B9</f>
        <v>57814</v>
      </c>
      <c r="F34" s="810">
        <f>LOOKUP(E34,108:108,109:109)-LOOKUP(C34,108:108,109:109)+100</f>
        <v>100</v>
      </c>
      <c r="G34" s="1088">
        <f>案例!B33</f>
        <v>47662</v>
      </c>
      <c r="H34" s="810">
        <f>LOOKUP(G34,108:108,109:109)-LOOKUP(C34,108:108,109:109)+100</f>
        <v>100</v>
      </c>
      <c r="I34" s="873">
        <f>案例!B58</f>
        <v>133333</v>
      </c>
      <c r="J34" s="810">
        <f>LOOKUP(I34,108:108,109:109)-LOOKUP(C34,108:108,109:109)+100</f>
        <v>103</v>
      </c>
      <c r="K34" s="956"/>
      <c r="L34" s="2360"/>
      <c r="M34" s="2351"/>
      <c r="N34" s="2351"/>
      <c r="O34" s="2359"/>
      <c r="P34" s="3541"/>
      <c r="Q34" s="1323" t="str">
        <f>B34</f>
        <v>宗地面积</v>
      </c>
      <c r="R34" s="1324" t="s">
        <v>65</v>
      </c>
      <c r="S34" s="1325">
        <f t="shared" si="10"/>
        <v>100</v>
      </c>
      <c r="T34" s="1324" t="s">
        <v>65</v>
      </c>
      <c r="U34" s="1325">
        <f t="shared" si="11"/>
        <v>100</v>
      </c>
      <c r="V34" s="1324" t="s">
        <v>65</v>
      </c>
      <c r="W34" s="1325">
        <f t="shared" si="12"/>
        <v>103</v>
      </c>
      <c r="X34" s="1318"/>
      <c r="Y34" s="3541"/>
      <c r="Z34" s="1326" t="str">
        <f t="shared" si="13"/>
        <v>宗地面积</v>
      </c>
      <c r="AA34" s="1327">
        <f t="shared" si="3"/>
        <v>1</v>
      </c>
      <c r="AB34" s="1327">
        <f t="shared" si="4"/>
        <v>1</v>
      </c>
      <c r="AC34" s="1327">
        <f t="shared" si="5"/>
        <v>0.970873786407767</v>
      </c>
    </row>
    <row r="35" spans="1:29" ht="15">
      <c r="A35" s="815"/>
      <c r="B35" s="765" t="s">
        <v>488</v>
      </c>
      <c r="C35" s="109" t="s">
        <v>3161</v>
      </c>
      <c r="D35" s="778">
        <v>100</v>
      </c>
      <c r="E35" s="109" t="s">
        <v>3161</v>
      </c>
      <c r="F35" s="778">
        <f>SUMIF(110:110,E35,111:111)-SUMIF(110:110,C35,111:111)+100</f>
        <v>100</v>
      </c>
      <c r="G35" s="109" t="s">
        <v>3161</v>
      </c>
      <c r="H35" s="778">
        <f>SUMIF(110:110,G35,111:111)-SUMIF(110:110,C35,111:111)+100</f>
        <v>100</v>
      </c>
      <c r="I35" s="109" t="s">
        <v>3161</v>
      </c>
      <c r="J35" s="778">
        <f>SUMIF(110:110,I35,111:111)-SUMIF(110:110,C35,111:111)+100</f>
        <v>100</v>
      </c>
      <c r="K35" s="955"/>
      <c r="L35" s="2360"/>
      <c r="M35" s="2351"/>
      <c r="N35" s="2351"/>
      <c r="O35" s="2359"/>
      <c r="P35" s="3541"/>
      <c r="Q35" s="1323" t="str">
        <f t="shared" ref="Q35:Q40" si="14">B35</f>
        <v>宗地形状</v>
      </c>
      <c r="R35" s="1324" t="s">
        <v>65</v>
      </c>
      <c r="S35" s="1325">
        <f t="shared" si="10"/>
        <v>100</v>
      </c>
      <c r="T35" s="1324" t="s">
        <v>65</v>
      </c>
      <c r="U35" s="1325">
        <f t="shared" si="11"/>
        <v>100</v>
      </c>
      <c r="V35" s="1324" t="s">
        <v>65</v>
      </c>
      <c r="W35" s="1325">
        <f t="shared" si="12"/>
        <v>100</v>
      </c>
      <c r="X35" s="1318"/>
      <c r="Y35" s="3541"/>
      <c r="Z35" s="1326" t="str">
        <f t="shared" si="13"/>
        <v>宗地形状</v>
      </c>
      <c r="AA35" s="1327">
        <f t="shared" si="3"/>
        <v>1</v>
      </c>
      <c r="AB35" s="1327">
        <f t="shared" si="4"/>
        <v>1</v>
      </c>
      <c r="AC35" s="1327">
        <f t="shared" si="5"/>
        <v>1</v>
      </c>
    </row>
    <row r="36" spans="1:29" s="407" customFormat="1" ht="15">
      <c r="A36" s="816"/>
      <c r="B36" s="2612" t="s">
        <v>2514</v>
      </c>
      <c r="C36" s="1042" t="s">
        <v>3174</v>
      </c>
      <c r="D36" s="426">
        <v>100</v>
      </c>
      <c r="E36" s="1042" t="s">
        <v>3174</v>
      </c>
      <c r="F36" s="778">
        <f>SUMIF(112:112,E36,113:113)-SUMIF(112:112,C36,113:113)+100</f>
        <v>100</v>
      </c>
      <c r="G36" s="1042" t="s">
        <v>3174</v>
      </c>
      <c r="H36" s="778">
        <f>SUMIF(112:112,G36,113:113)-SUMIF(112:112,C36,113:113)+100</f>
        <v>100</v>
      </c>
      <c r="I36" s="1042" t="s">
        <v>3174</v>
      </c>
      <c r="J36" s="778">
        <f>SUMIF(112:112,I36,113:113)-SUMIF(112:112,C36,113:113)+100</f>
        <v>100</v>
      </c>
      <c r="K36" s="955"/>
      <c r="L36" s="2352"/>
      <c r="M36" s="2353"/>
      <c r="N36" s="2353"/>
      <c r="O36" s="2354"/>
      <c r="P36" s="3541"/>
      <c r="Q36" s="1323" t="str">
        <f t="shared" si="14"/>
        <v>宗地开发程度</v>
      </c>
      <c r="R36" s="1319" t="s">
        <v>65</v>
      </c>
      <c r="S36" s="1320">
        <f t="shared" si="10"/>
        <v>100</v>
      </c>
      <c r="T36" s="1319" t="s">
        <v>65</v>
      </c>
      <c r="U36" s="1320">
        <f t="shared" si="11"/>
        <v>100</v>
      </c>
      <c r="V36" s="1319" t="s">
        <v>65</v>
      </c>
      <c r="W36" s="1320">
        <f t="shared" si="12"/>
        <v>100</v>
      </c>
      <c r="X36" s="1321"/>
      <c r="Y36" s="3541"/>
      <c r="Z36" s="344" t="str">
        <f t="shared" si="13"/>
        <v>宗地开发程度</v>
      </c>
      <c r="AA36" s="1322">
        <f t="shared" si="3"/>
        <v>1</v>
      </c>
      <c r="AB36" s="1322">
        <f t="shared" si="4"/>
        <v>1</v>
      </c>
      <c r="AC36" s="1322">
        <f t="shared" si="5"/>
        <v>1</v>
      </c>
    </row>
    <row r="37" spans="1:29" ht="15">
      <c r="A37" s="815"/>
      <c r="B37" s="765" t="s">
        <v>490</v>
      </c>
      <c r="C37" s="109" t="s">
        <v>3142</v>
      </c>
      <c r="D37" s="778">
        <v>100</v>
      </c>
      <c r="E37" s="109" t="s">
        <v>3142</v>
      </c>
      <c r="F37" s="778">
        <f>SUMIF(114:114,E37,115:115)-SUMIF(114:114,C37,115:115)+100</f>
        <v>100</v>
      </c>
      <c r="G37" s="109" t="s">
        <v>3142</v>
      </c>
      <c r="H37" s="778">
        <f>SUMIF(114:114,G37,115:115)-SUMIF(114:114,C37,115:115)+100</f>
        <v>100</v>
      </c>
      <c r="I37" s="109" t="s">
        <v>3142</v>
      </c>
      <c r="J37" s="778">
        <f>SUMIF(114:114,I37,115:115)-SUMIF(114:114,C37,115:115)+100</f>
        <v>100</v>
      </c>
      <c r="K37" s="955"/>
      <c r="L37" s="2360"/>
      <c r="M37" s="2351"/>
      <c r="N37" s="2351"/>
      <c r="O37" s="2359"/>
      <c r="P37" s="3541" t="s">
        <v>521</v>
      </c>
      <c r="Q37" s="1323" t="str">
        <f t="shared" si="14"/>
        <v>工程地质条件</v>
      </c>
      <c r="R37" s="1324" t="s">
        <v>65</v>
      </c>
      <c r="S37" s="1325">
        <f t="shared" si="10"/>
        <v>100</v>
      </c>
      <c r="T37" s="1324" t="s">
        <v>65</v>
      </c>
      <c r="U37" s="1325">
        <f t="shared" si="11"/>
        <v>100</v>
      </c>
      <c r="V37" s="1324" t="s">
        <v>65</v>
      </c>
      <c r="W37" s="1325">
        <f t="shared" si="12"/>
        <v>100</v>
      </c>
      <c r="X37" s="1318"/>
      <c r="Y37" s="3541"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541"/>
      <c r="Q38" s="1323">
        <f t="shared" si="14"/>
        <v>111</v>
      </c>
      <c r="R38" s="1324" t="s">
        <v>65</v>
      </c>
      <c r="S38" s="1325">
        <f t="shared" si="10"/>
        <v>100</v>
      </c>
      <c r="T38" s="1324" t="s">
        <v>65</v>
      </c>
      <c r="U38" s="1325">
        <f t="shared" si="11"/>
        <v>100</v>
      </c>
      <c r="V38" s="1324" t="s">
        <v>65</v>
      </c>
      <c r="W38" s="1325">
        <f t="shared" si="12"/>
        <v>100</v>
      </c>
      <c r="X38" s="1318"/>
      <c r="Y38" s="3541"/>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541"/>
      <c r="Q39" s="1323">
        <f t="shared" si="14"/>
        <v>111</v>
      </c>
      <c r="R39" s="1324" t="s">
        <v>65</v>
      </c>
      <c r="S39" s="1325">
        <f t="shared" si="10"/>
        <v>100</v>
      </c>
      <c r="T39" s="1324" t="s">
        <v>65</v>
      </c>
      <c r="U39" s="1325">
        <f t="shared" si="11"/>
        <v>100</v>
      </c>
      <c r="V39" s="1324" t="s">
        <v>65</v>
      </c>
      <c r="W39" s="1325">
        <f t="shared" si="12"/>
        <v>100</v>
      </c>
      <c r="X39" s="1318"/>
      <c r="Y39" s="3541"/>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541"/>
      <c r="Q40" s="1323">
        <f t="shared" si="14"/>
        <v>111</v>
      </c>
      <c r="R40" s="1329" t="s">
        <v>65</v>
      </c>
      <c r="S40" s="1330">
        <f t="shared" si="10"/>
        <v>100</v>
      </c>
      <c r="T40" s="1329" t="s">
        <v>65</v>
      </c>
      <c r="U40" s="1330">
        <f t="shared" si="11"/>
        <v>100</v>
      </c>
      <c r="V40" s="1329" t="s">
        <v>65</v>
      </c>
      <c r="W40" s="1330">
        <f t="shared" si="12"/>
        <v>100</v>
      </c>
      <c r="X40" s="1331"/>
      <c r="Y40" s="3541"/>
      <c r="Z40" s="1332">
        <f t="shared" si="13"/>
        <v>111</v>
      </c>
      <c r="AA40" s="1327">
        <f t="shared" si="3"/>
        <v>1</v>
      </c>
      <c r="AB40" s="1327">
        <f t="shared" si="4"/>
        <v>1</v>
      </c>
      <c r="AC40" s="1327">
        <f t="shared" si="5"/>
        <v>1</v>
      </c>
    </row>
    <row r="41" spans="1:29" ht="15">
      <c r="A41" s="822" t="s">
        <v>491</v>
      </c>
      <c r="B41" s="207" t="s">
        <v>3162</v>
      </c>
      <c r="C41" s="1091" t="s">
        <v>23</v>
      </c>
      <c r="D41" s="824"/>
      <c r="E41" s="825">
        <f>案例!F12</f>
        <v>150</v>
      </c>
      <c r="F41" s="826"/>
      <c r="G41" s="3335">
        <f>案例!F36</f>
        <v>154.04</v>
      </c>
      <c r="H41" s="828"/>
      <c r="I41" s="825">
        <f>案例!F61</f>
        <v>150</v>
      </c>
      <c r="J41" s="828"/>
      <c r="K41" s="1400"/>
      <c r="L41" s="2363"/>
      <c r="M41" s="2351"/>
      <c r="N41" s="2351"/>
      <c r="O41" s="2364"/>
      <c r="P41" s="3535" t="str">
        <f>A41</f>
        <v>成交单价</v>
      </c>
      <c r="Q41" s="3535"/>
      <c r="R41" s="3537">
        <f>E41</f>
        <v>150</v>
      </c>
      <c r="S41" s="3537"/>
      <c r="T41" s="3537">
        <f>G41</f>
        <v>154.04</v>
      </c>
      <c r="U41" s="3537"/>
      <c r="V41" s="3537">
        <f>I41</f>
        <v>150</v>
      </c>
      <c r="W41" s="3537"/>
      <c r="X41" s="1307"/>
      <c r="Y41" s="1333"/>
      <c r="Z41" s="1307"/>
      <c r="AA41" s="1307"/>
      <c r="AB41" s="1307"/>
      <c r="AC41" s="1307"/>
    </row>
    <row r="42" spans="1:29" ht="15.75" thickBot="1">
      <c r="A42" s="829" t="s">
        <v>412</v>
      </c>
      <c r="B42" s="1092"/>
      <c r="C42" s="833">
        <f>R43</f>
        <v>133</v>
      </c>
      <c r="D42" s="832"/>
      <c r="E42" s="833">
        <f>R42</f>
        <v>133</v>
      </c>
      <c r="F42" s="834"/>
      <c r="G42" s="831">
        <f>T42</f>
        <v>137</v>
      </c>
      <c r="H42" s="832"/>
      <c r="I42" s="833">
        <f>V42</f>
        <v>130</v>
      </c>
      <c r="J42" s="832"/>
      <c r="K42" s="1401"/>
      <c r="L42" s="2363"/>
      <c r="M42" s="2351"/>
      <c r="N42" s="2351"/>
      <c r="O42" s="2364"/>
      <c r="P42" s="3535" t="str">
        <f>A42</f>
        <v>比较价值（元/平方米）</v>
      </c>
      <c r="Q42" s="3535"/>
      <c r="R42" s="3536">
        <f>ROUND(PRODUCT(R41,AA7:AA40),0)</f>
        <v>133</v>
      </c>
      <c r="S42" s="3536"/>
      <c r="T42" s="3536">
        <f>ROUND(PRODUCT(T41,AB7:AB40),0)</f>
        <v>137</v>
      </c>
      <c r="U42" s="3536"/>
      <c r="V42" s="3536">
        <f>ROUND(PRODUCT(V41,AC7:AC40),0)</f>
        <v>130</v>
      </c>
      <c r="W42" s="3536"/>
      <c r="X42" s="1307"/>
      <c r="Y42" s="1307"/>
      <c r="Z42" s="1307"/>
      <c r="AA42" s="1307"/>
      <c r="AB42" s="1307"/>
      <c r="AC42" s="1307"/>
    </row>
    <row r="43" spans="1:29" ht="15.75" thickBot="1">
      <c r="A43" s="115" t="s">
        <v>3032</v>
      </c>
      <c r="B43" s="836"/>
      <c r="C43" s="837">
        <f>R43</f>
        <v>133</v>
      </c>
      <c r="D43" s="837"/>
      <c r="E43" s="837"/>
      <c r="F43" s="837"/>
      <c r="G43" s="837"/>
      <c r="H43" s="837"/>
      <c r="I43" s="837"/>
      <c r="J43" s="837"/>
      <c r="K43" s="1402"/>
      <c r="L43" s="2363"/>
      <c r="M43" s="2351"/>
      <c r="N43" s="2351"/>
      <c r="O43" s="2364"/>
      <c r="P43" s="3532" t="str">
        <f>A43</f>
        <v>估价对象XX用房的比较价值（楼面单价，元/平方米）</v>
      </c>
      <c r="Q43" s="3533"/>
      <c r="R43" s="3534">
        <f>ROUND(AVERAGE(R42:V42),0)</f>
        <v>133</v>
      </c>
      <c r="S43" s="3534"/>
      <c r="T43" s="3534"/>
      <c r="U43" s="3534"/>
      <c r="V43" s="3534"/>
      <c r="W43" s="3534"/>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f>IF(E41&lt;E42,E42/E41-1,E41/E42-1)</f>
        <v>0.1278195488721805</v>
      </c>
      <c r="F46" s="843" t="str">
        <f>IF(OR(E46&gt;=0.3,E46&lt;=-0.3),"超过30%","")</f>
        <v/>
      </c>
      <c r="G46" s="842">
        <f>IF(G41&lt;G42,G42/G41-1,G41/G42-1)</f>
        <v>0.12437956204379552</v>
      </c>
      <c r="H46" s="843" t="str">
        <f>IF(OR(G46&gt;=0.3,G46&lt;=-0.3),"超过30%","")</f>
        <v/>
      </c>
      <c r="I46" s="842">
        <f>IF(I41&lt;I42,I42/I41-1,I41/I42-1)</f>
        <v>0.15384615384615374</v>
      </c>
      <c r="J46" s="843" t="str">
        <f>IF(OR(I46&gt;=0.3,I46&lt;=-0.3),"超过30%","")</f>
        <v/>
      </c>
      <c r="K46" s="2190"/>
      <c r="L46" s="2191"/>
      <c r="M46" s="2351"/>
      <c r="N46" s="2351"/>
      <c r="O46" s="2364"/>
    </row>
    <row r="47" spans="1:29" ht="13.5" customHeight="1">
      <c r="A47" s="2364"/>
      <c r="B47" s="2364"/>
      <c r="C47" s="840" t="s">
        <v>414</v>
      </c>
      <c r="D47" s="844"/>
      <c r="E47" s="842">
        <f>IF(E42&lt;G42,G42/E42-1,E42/G42-1)</f>
        <v>3.007518796992481E-2</v>
      </c>
      <c r="F47" s="843" t="str">
        <f>IF(OR(E47&gt;=0.2,E47&lt;=-0.2),"超过20%","")</f>
        <v/>
      </c>
      <c r="G47" s="842">
        <f>IF(G42&lt;I42,I42/G42-1,G42/I42-1)</f>
        <v>5.3846153846153877E-2</v>
      </c>
      <c r="H47" s="843" t="str">
        <f>IF(OR(G47&gt;=0.2,G47&lt;=-0.2),"超过20%","")</f>
        <v/>
      </c>
      <c r="I47" s="842">
        <f>IF(I42&lt;E42,E42/I42-1,I42/E42-1)</f>
        <v>2.3076923076922995E-2</v>
      </c>
      <c r="J47" s="843" t="str">
        <f>IF(OR(I47&gt;=0.2,I47&lt;=-0.2),"超过20%","")</f>
        <v/>
      </c>
      <c r="K47" s="2190"/>
      <c r="L47" s="2191"/>
      <c r="M47" s="2364"/>
      <c r="N47" s="2364"/>
      <c r="O47" s="2364"/>
    </row>
    <row r="48" spans="1:29" s="845" customFormat="1" ht="13.5" customHeight="1">
      <c r="A48" s="2365"/>
      <c r="B48" s="2365"/>
      <c r="C48" s="840" t="s">
        <v>415</v>
      </c>
      <c r="D48" s="844"/>
      <c r="E48" s="842">
        <f>IF(E41&lt;G41,G41/E41-1,E41/G41-1)</f>
        <v>2.6933333333333254E-2</v>
      </c>
      <c r="F48" s="843" t="str">
        <f>IF(OR(E48&gt;=0.3,E48&lt;=-0.3),"超过30%","")</f>
        <v/>
      </c>
      <c r="G48" s="842">
        <f>IF(G41&lt;I41,I41/G41-1,G41/I41-1)</f>
        <v>2.6933333333333254E-2</v>
      </c>
      <c r="H48" s="843" t="str">
        <f>IF(OR(G48&gt;=0.3,G48&lt;=-0.3),"超过30%","")</f>
        <v/>
      </c>
      <c r="I48" s="842">
        <f>IF(I41&lt;E41,E41/I41-1,I41/E41-1)</f>
        <v>0</v>
      </c>
      <c r="J48" s="843" t="str">
        <f>IF(OR(I48&gt;=0.3,I48&lt;=-0.3),"超过30%","")</f>
        <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3175</v>
      </c>
      <c r="D50" s="2395" t="s">
        <v>2336</v>
      </c>
      <c r="E50" s="1095" t="s">
        <v>494</v>
      </c>
      <c r="F50" s="1096" t="s">
        <v>495</v>
      </c>
      <c r="G50" s="3559" t="s">
        <v>2329</v>
      </c>
      <c r="H50" s="3560"/>
      <c r="I50" s="2185" t="s">
        <v>1894</v>
      </c>
      <c r="J50" s="1768">
        <f>项目基本情况!F35</f>
        <v>0</v>
      </c>
      <c r="K50" s="2378" t="s">
        <v>1896</v>
      </c>
      <c r="L50" s="2191"/>
      <c r="M50" s="2364"/>
      <c r="N50" s="2364"/>
      <c r="O50" s="2364"/>
    </row>
    <row r="51" spans="1:17" s="1101" customFormat="1">
      <c r="A51" s="1097" t="s">
        <v>496</v>
      </c>
      <c r="B51" s="1098">
        <f>C43</f>
        <v>133</v>
      </c>
      <c r="C51" s="1099">
        <v>1</v>
      </c>
      <c r="D51" s="2396">
        <v>1</v>
      </c>
      <c r="E51" s="1099">
        <f>'数据-汇总表'!E8+'数据-汇总表'!E9</f>
        <v>20083.5</v>
      </c>
      <c r="F51" s="1100">
        <f t="shared" ref="F51:F60" si="15">ROUND(B51*E51/10000,0)</f>
        <v>267</v>
      </c>
      <c r="G51" s="3561"/>
      <c r="H51" s="3562"/>
      <c r="I51" s="1776">
        <v>1</v>
      </c>
      <c r="J51" s="1776">
        <v>1</v>
      </c>
      <c r="K51" s="2365"/>
      <c r="L51" s="1775"/>
      <c r="M51" s="1775"/>
      <c r="N51" s="1775"/>
      <c r="O51" s="1775"/>
    </row>
    <row r="52" spans="1:17" s="1101" customFormat="1">
      <c r="A52" s="1102" t="s">
        <v>497</v>
      </c>
      <c r="B52" s="594">
        <f>ROUND($C$43*C52*D52,0)</f>
        <v>0</v>
      </c>
      <c r="C52" s="532">
        <f t="shared" ref="C52:C60" si="16">IF($C$50="北京市系数",I52,J52)</f>
        <v>0</v>
      </c>
      <c r="D52" s="2397">
        <v>0.25</v>
      </c>
      <c r="E52" s="1103"/>
      <c r="F52" s="1100">
        <f t="shared" si="15"/>
        <v>0</v>
      </c>
      <c r="G52" s="3563" t="s">
        <v>2330</v>
      </c>
      <c r="H52" s="2189">
        <f>项目基本情况!B37</f>
        <v>0</v>
      </c>
      <c r="I52" s="1776">
        <f>SUMIF(修正!A45:A56,H52,修正!B45:B56)</f>
        <v>0</v>
      </c>
      <c r="J52" s="1777"/>
      <c r="K52" s="2364"/>
      <c r="L52" s="1775"/>
      <c r="M52" s="1775"/>
      <c r="N52" s="1775"/>
      <c r="O52" s="1775"/>
    </row>
    <row r="53" spans="1:17" s="1101" customFormat="1">
      <c r="A53" s="1102" t="s">
        <v>498</v>
      </c>
      <c r="B53" s="594">
        <f t="shared" ref="B53:B60" si="17">ROUND($C$43*C53*D53,0)</f>
        <v>0</v>
      </c>
      <c r="C53" s="532">
        <f t="shared" si="16"/>
        <v>0</v>
      </c>
      <c r="D53" s="2397">
        <v>0.25</v>
      </c>
      <c r="E53" s="1103"/>
      <c r="F53" s="1100">
        <f t="shared" si="15"/>
        <v>0</v>
      </c>
      <c r="G53" s="3563"/>
      <c r="H53" s="2189">
        <f>项目基本情况!B37</f>
        <v>0</v>
      </c>
      <c r="I53" s="1776">
        <f>SUMIF(修正!A45:A56,H53,修正!C45:C56)</f>
        <v>0</v>
      </c>
      <c r="J53" s="1777"/>
      <c r="K53" s="2365"/>
      <c r="L53" s="1775"/>
      <c r="M53" s="1775"/>
      <c r="N53" s="1775"/>
      <c r="O53" s="1775"/>
    </row>
    <row r="54" spans="1:17" s="1101" customFormat="1">
      <c r="A54" s="1102" t="s">
        <v>499</v>
      </c>
      <c r="B54" s="594">
        <f t="shared" si="17"/>
        <v>0</v>
      </c>
      <c r="C54" s="532">
        <f t="shared" si="16"/>
        <v>0</v>
      </c>
      <c r="D54" s="2397">
        <v>0.25</v>
      </c>
      <c r="E54" s="1103"/>
      <c r="F54" s="1100">
        <f t="shared" si="15"/>
        <v>0</v>
      </c>
      <c r="G54" s="3563"/>
      <c r="H54" s="2189">
        <f>项目基本情况!B37</f>
        <v>0</v>
      </c>
      <c r="I54" s="1776">
        <f>SUMIF(修正!A45:A56,H54,修正!D45:D56)</f>
        <v>0</v>
      </c>
      <c r="J54" s="1777"/>
      <c r="K54" s="2364"/>
      <c r="L54" s="1775"/>
      <c r="M54" s="1775"/>
      <c r="N54" s="1775"/>
      <c r="O54" s="1775"/>
    </row>
    <row r="55" spans="1:17" s="1101" customFormat="1">
      <c r="A55" s="1102" t="s">
        <v>500</v>
      </c>
      <c r="B55" s="594">
        <f t="shared" si="17"/>
        <v>0</v>
      </c>
      <c r="C55" s="532">
        <f t="shared" si="16"/>
        <v>0</v>
      </c>
      <c r="D55" s="2397">
        <v>0.25</v>
      </c>
      <c r="E55" s="1103"/>
      <c r="F55" s="1100">
        <f t="shared" si="15"/>
        <v>0</v>
      </c>
      <c r="G55" s="3563"/>
      <c r="H55" s="2189">
        <f>项目基本情况!B37</f>
        <v>0</v>
      </c>
      <c r="I55" s="1776">
        <f>SUMIF(修正!A45:A56,H55,修正!E45:E56)</f>
        <v>0</v>
      </c>
      <c r="J55" s="1777"/>
      <c r="K55" s="2365"/>
      <c r="L55" s="1775"/>
      <c r="M55" s="1775"/>
      <c r="N55" s="1775"/>
      <c r="O55" s="1775"/>
    </row>
    <row r="56" spans="1:17" s="1101" customFormat="1">
      <c r="A56" s="2517" t="s">
        <v>2413</v>
      </c>
      <c r="B56" s="594">
        <f t="shared" si="17"/>
        <v>0</v>
      </c>
      <c r="C56" s="532">
        <f t="shared" si="16"/>
        <v>0</v>
      </c>
      <c r="D56" s="2397">
        <v>0.25</v>
      </c>
      <c r="E56" s="593">
        <f>'数据-汇总表'!E11</f>
        <v>0</v>
      </c>
      <c r="F56" s="1100">
        <f t="shared" si="15"/>
        <v>0</v>
      </c>
      <c r="G56" s="2201" t="s">
        <v>2331</v>
      </c>
      <c r="H56" s="2189">
        <f>项目基本情况!C37</f>
        <v>0</v>
      </c>
      <c r="I56" s="1776">
        <f>SUMIF(修正!A45:A56,H56,修正!F45:F56)</f>
        <v>0</v>
      </c>
      <c r="J56" s="1777"/>
      <c r="K56" s="2364"/>
      <c r="L56" s="1775"/>
      <c r="M56" s="1775"/>
      <c r="N56" s="1775"/>
      <c r="O56" s="1775"/>
    </row>
    <row r="57" spans="1:17" s="1101" customFormat="1">
      <c r="A57" s="1102" t="s">
        <v>501</v>
      </c>
      <c r="B57" s="594">
        <f t="shared" si="17"/>
        <v>0</v>
      </c>
      <c r="C57" s="532">
        <f t="shared" si="16"/>
        <v>0</v>
      </c>
      <c r="D57" s="2397">
        <v>0.25</v>
      </c>
      <c r="E57" s="593">
        <f>'数据-汇总表'!E12</f>
        <v>0</v>
      </c>
      <c r="F57" s="1100">
        <f t="shared" si="15"/>
        <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f t="shared" si="17"/>
        <v>0</v>
      </c>
      <c r="C58" s="532">
        <f t="shared" si="16"/>
        <v>0</v>
      </c>
      <c r="D58" s="2397">
        <v>0.25</v>
      </c>
      <c r="E58" s="593">
        <f>'数据-汇总表'!E13</f>
        <v>0</v>
      </c>
      <c r="F58" s="1100">
        <f t="shared" si="15"/>
        <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f t="shared" si="17"/>
        <v>0</v>
      </c>
      <c r="C59" s="532">
        <f t="shared" si="16"/>
        <v>0</v>
      </c>
      <c r="D59" s="2397">
        <v>0.25</v>
      </c>
      <c r="E59" s="593">
        <f>'数据-汇总表'!E14</f>
        <v>0</v>
      </c>
      <c r="F59" s="1100">
        <f t="shared" si="15"/>
        <v>0</v>
      </c>
      <c r="G59" s="2201" t="s">
        <v>2332</v>
      </c>
      <c r="H59" s="2189">
        <f>项目基本情况!B37</f>
        <v>0</v>
      </c>
      <c r="I59" s="1776">
        <f>SUMIF(修正!A45:A56,H59,修正!H45:H56)</f>
        <v>0</v>
      </c>
      <c r="J59" s="1777"/>
      <c r="K59" s="2365"/>
      <c r="L59" s="1775"/>
      <c r="M59" s="1775"/>
      <c r="N59" s="1775"/>
      <c r="O59" s="1775"/>
    </row>
    <row r="60" spans="1:17" s="1101" customFormat="1" ht="15" thickBot="1">
      <c r="A60" s="1102" t="s">
        <v>504</v>
      </c>
      <c r="B60" s="594">
        <f t="shared" si="17"/>
        <v>0</v>
      </c>
      <c r="C60" s="532">
        <f t="shared" si="16"/>
        <v>0</v>
      </c>
      <c r="D60" s="2397">
        <v>0.25</v>
      </c>
      <c r="E60" s="593">
        <f>'数据-汇总表'!E15</f>
        <v>0</v>
      </c>
      <c r="F60" s="1100">
        <f t="shared" si="15"/>
        <v>0</v>
      </c>
      <c r="G60" s="2202" t="s">
        <v>2331</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2337</v>
      </c>
      <c r="E61" s="1105">
        <f>IF(B41="楼面地价",SUM(E51:E60),'数据-汇总表'!D3)</f>
        <v>52242.5</v>
      </c>
      <c r="F61" s="1106">
        <f>IF(B41="楼面地价",SUM(F51:F60),ROUND(C43*E61/10000,0))</f>
        <v>695</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2805</v>
      </c>
      <c r="B65" s="2709"/>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9" t="s">
        <v>2804</v>
      </c>
      <c r="B66" s="664" t="str">
        <f>"北京市平均增长率"&amp;TEXT(基准地价修正!P24,"0.00%")</f>
        <v>北京市平均增长率1.34%</v>
      </c>
      <c r="C66" s="946">
        <v>100</v>
      </c>
      <c r="D66" s="938">
        <v>99.5</v>
      </c>
      <c r="E66" s="938">
        <v>99</v>
      </c>
      <c r="F66" s="938">
        <v>98.5</v>
      </c>
      <c r="G66" s="938">
        <v>98</v>
      </c>
      <c r="H66" s="938">
        <v>97.5</v>
      </c>
      <c r="I66" s="938">
        <v>97</v>
      </c>
      <c r="J66" s="938">
        <v>96.5</v>
      </c>
      <c r="K66" s="938">
        <v>96</v>
      </c>
      <c r="L66" s="938">
        <v>95.5</v>
      </c>
      <c r="M66" s="938">
        <v>95</v>
      </c>
      <c r="N66" s="938">
        <v>94.5</v>
      </c>
      <c r="O66" s="938">
        <v>94</v>
      </c>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t="s">
        <v>3159</v>
      </c>
      <c r="D70" s="122"/>
      <c r="E70" s="122"/>
      <c r="F70" s="122"/>
      <c r="G70" s="122"/>
      <c r="H70" s="122"/>
      <c r="I70" s="122"/>
      <c r="J70" s="122"/>
      <c r="K70" s="123"/>
      <c r="L70" s="124"/>
      <c r="M70" s="125"/>
      <c r="N70" s="2372"/>
      <c r="O70" s="2372"/>
      <c r="P70" s="334"/>
      <c r="Q70" s="847"/>
    </row>
    <row r="71" spans="1:17" ht="15.75" thickBot="1">
      <c r="A71" s="877"/>
      <c r="B71" s="878"/>
      <c r="C71" s="879">
        <v>100</v>
      </c>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0（含）-1</v>
      </c>
      <c r="D74" s="890" t="str">
        <f t="shared" ref="D74:L74" si="20">D75&amp;"（含）"&amp;"-"&amp;E75</f>
        <v>1（含）-2</v>
      </c>
      <c r="E74" s="890" t="str">
        <f t="shared" si="20"/>
        <v>2（含）-3</v>
      </c>
      <c r="F74" s="890" t="str">
        <f t="shared" si="20"/>
        <v>3（含）-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v>0</v>
      </c>
      <c r="D75" s="892">
        <v>1</v>
      </c>
      <c r="E75" s="892">
        <v>2</v>
      </c>
      <c r="F75" s="892">
        <v>3</v>
      </c>
      <c r="G75" s="892"/>
      <c r="H75" s="892"/>
      <c r="I75" s="892"/>
      <c r="J75" s="892"/>
      <c r="K75" s="893"/>
      <c r="L75" s="894"/>
      <c r="M75" s="895"/>
      <c r="N75" s="2372"/>
      <c r="O75" s="2372"/>
      <c r="P75" s="334"/>
      <c r="Q75" s="847"/>
    </row>
    <row r="76" spans="1:17" ht="15.75" thickBot="1">
      <c r="A76" s="877"/>
      <c r="B76" s="1053"/>
      <c r="C76" s="887">
        <v>100</v>
      </c>
      <c r="D76" s="887">
        <f>IF($B$41="单位面积地价",C76+$K11,C76-$K11)</f>
        <v>103</v>
      </c>
      <c r="E76" s="887">
        <f t="shared" ref="E76:M76" si="21">IF($B$41="单位面积地价",D76+$K11,D76-$K11)</f>
        <v>106</v>
      </c>
      <c r="F76" s="887">
        <f t="shared" si="21"/>
        <v>109</v>
      </c>
      <c r="G76" s="887">
        <f t="shared" si="21"/>
        <v>112</v>
      </c>
      <c r="H76" s="887">
        <f t="shared" si="21"/>
        <v>115</v>
      </c>
      <c r="I76" s="887">
        <f t="shared" si="21"/>
        <v>118</v>
      </c>
      <c r="J76" s="887">
        <f t="shared" si="21"/>
        <v>121</v>
      </c>
      <c r="K76" s="887">
        <f t="shared" si="21"/>
        <v>124</v>
      </c>
      <c r="L76" s="887">
        <f t="shared" si="21"/>
        <v>127</v>
      </c>
      <c r="M76" s="887">
        <f t="shared" si="21"/>
        <v>130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97</v>
      </c>
      <c r="E84" s="887">
        <f>D84-$K15</f>
        <v>94</v>
      </c>
      <c r="F84" s="887">
        <f>E84-$K15</f>
        <v>91</v>
      </c>
      <c r="G84" s="887">
        <f>F84-$K15</f>
        <v>88</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98</v>
      </c>
      <c r="E86" s="887">
        <f>D86-$K17</f>
        <v>96</v>
      </c>
      <c r="F86" s="887">
        <f>E86-$K17</f>
        <v>94</v>
      </c>
      <c r="G86" s="887">
        <f>F86-$K17</f>
        <v>92</v>
      </c>
      <c r="H86" s="887"/>
      <c r="I86" s="887"/>
      <c r="J86" s="887"/>
      <c r="K86" s="887"/>
      <c r="L86" s="887"/>
      <c r="M86" s="888"/>
      <c r="N86" s="2373"/>
      <c r="O86" s="2373"/>
      <c r="P86" s="334"/>
      <c r="Q86" s="847"/>
    </row>
    <row r="87" spans="1:17" s="407" customFormat="1" ht="27.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98</v>
      </c>
      <c r="E88" s="887">
        <f>D88-$K19</f>
        <v>96</v>
      </c>
      <c r="F88" s="887">
        <f>E88-$K19</f>
        <v>94</v>
      </c>
      <c r="G88" s="887">
        <f>F88-$K19</f>
        <v>92</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98</v>
      </c>
      <c r="E90" s="887">
        <f>D90-$K21</f>
        <v>96</v>
      </c>
      <c r="F90" s="887">
        <f>E90-$K21</f>
        <v>94</v>
      </c>
      <c r="G90" s="887">
        <f>F90-$K21</f>
        <v>92</v>
      </c>
      <c r="H90" s="887"/>
      <c r="I90" s="887"/>
      <c r="J90" s="887"/>
      <c r="K90" s="887"/>
      <c r="L90" s="887"/>
      <c r="M90" s="888"/>
      <c r="N90" s="2373"/>
      <c r="O90" s="2373"/>
      <c r="P90" s="334"/>
      <c r="Q90" s="847"/>
    </row>
    <row r="91" spans="1:17" s="814" customFormat="1" ht="15.75" thickTop="1">
      <c r="A91" s="896"/>
      <c r="B91" s="1054" t="s">
        <v>2681</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98</v>
      </c>
      <c r="E92" s="887">
        <f>D92-$K23</f>
        <v>96</v>
      </c>
      <c r="F92" s="887">
        <f>E92-$K23</f>
        <v>94</v>
      </c>
      <c r="G92" s="887">
        <f>F92-$K23</f>
        <v>92</v>
      </c>
      <c r="H92" s="950"/>
      <c r="I92" s="950"/>
      <c r="J92" s="950"/>
      <c r="K92" s="950"/>
      <c r="L92" s="950"/>
      <c r="M92" s="951"/>
      <c r="N92" s="2374"/>
      <c r="O92" s="2374"/>
      <c r="P92" s="901"/>
      <c r="Q92" s="902"/>
    </row>
    <row r="93" spans="1:17" s="814" customFormat="1" ht="15.75" thickTop="1">
      <c r="A93" s="896"/>
      <c r="B93" s="1056" t="s">
        <v>2683</v>
      </c>
      <c r="C93" s="213" t="s">
        <v>2669</v>
      </c>
      <c r="D93" s="213" t="s">
        <v>2670</v>
      </c>
      <c r="E93" s="213" t="s">
        <v>2671</v>
      </c>
      <c r="F93" s="213" t="s">
        <v>2672</v>
      </c>
      <c r="G93" s="213" t="s">
        <v>2673</v>
      </c>
      <c r="H93" s="943"/>
      <c r="I93" s="943"/>
      <c r="J93" s="943"/>
      <c r="K93" s="943"/>
      <c r="L93" s="943"/>
      <c r="M93" s="945"/>
      <c r="N93" s="2374"/>
      <c r="O93" s="2374"/>
      <c r="P93" s="901"/>
      <c r="Q93" s="902"/>
    </row>
    <row r="94" spans="1:17" s="814" customFormat="1" ht="15.75" thickBot="1">
      <c r="A94" s="896"/>
      <c r="B94" s="1056"/>
      <c r="C94" s="887">
        <v>100</v>
      </c>
      <c r="D94" s="887">
        <f>C94-$K25</f>
        <v>98</v>
      </c>
      <c r="E94" s="887">
        <f>D94-$K25</f>
        <v>96</v>
      </c>
      <c r="F94" s="887">
        <f>E94-$K25</f>
        <v>94</v>
      </c>
      <c r="G94" s="887">
        <f>F94-$K25</f>
        <v>92</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3332" t="s">
        <v>3143</v>
      </c>
      <c r="D97" s="3332" t="s">
        <v>3144</v>
      </c>
      <c r="E97" s="3332" t="s">
        <v>3145</v>
      </c>
      <c r="F97" s="3332" t="s">
        <v>3146</v>
      </c>
      <c r="G97" s="3332" t="s">
        <v>3147</v>
      </c>
      <c r="H97" s="131"/>
      <c r="I97" s="131"/>
      <c r="J97" s="131"/>
      <c r="K97" s="132"/>
      <c r="L97" s="133"/>
      <c r="M97" s="134"/>
      <c r="N97" s="2372"/>
      <c r="O97" s="2372"/>
      <c r="P97" s="334"/>
      <c r="Q97" s="847"/>
    </row>
    <row r="98" spans="1:17" ht="15.75" thickBot="1">
      <c r="A98" s="877"/>
      <c r="B98" s="1055"/>
      <c r="C98" s="887">
        <v>100</v>
      </c>
      <c r="D98" s="887">
        <f t="shared" ref="D98:M98" si="23">C98-$K28</f>
        <v>98</v>
      </c>
      <c r="E98" s="887">
        <f t="shared" si="23"/>
        <v>96</v>
      </c>
      <c r="F98" s="887">
        <f t="shared" si="23"/>
        <v>94</v>
      </c>
      <c r="G98" s="887">
        <f t="shared" si="23"/>
        <v>92</v>
      </c>
      <c r="H98" s="887">
        <f t="shared" si="23"/>
        <v>90</v>
      </c>
      <c r="I98" s="887">
        <f t="shared" si="23"/>
        <v>88</v>
      </c>
      <c r="J98" s="887">
        <f t="shared" si="23"/>
        <v>86</v>
      </c>
      <c r="K98" s="887">
        <f t="shared" si="23"/>
        <v>84</v>
      </c>
      <c r="L98" s="887">
        <f t="shared" si="23"/>
        <v>82</v>
      </c>
      <c r="M98" s="887">
        <f t="shared" si="23"/>
        <v>80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ht="28.5">
      <c r="A107" s="870" t="s">
        <v>409</v>
      </c>
      <c r="B107" s="286" t="s">
        <v>87</v>
      </c>
      <c r="C107" s="872" t="str">
        <f t="shared" ref="C107:L107" si="25">C108&amp;"(含)"&amp;"-"&amp;D108</f>
        <v>0(含)-30000</v>
      </c>
      <c r="D107" s="872" t="str">
        <f t="shared" si="25"/>
        <v>30000(含)-60000</v>
      </c>
      <c r="E107" s="872" t="str">
        <f t="shared" si="25"/>
        <v>60000(含)-90000</v>
      </c>
      <c r="F107" s="872" t="str">
        <f t="shared" si="25"/>
        <v>90000(含)-120000</v>
      </c>
      <c r="G107" s="872" t="str">
        <f t="shared" si="25"/>
        <v>120000(含)-150000</v>
      </c>
      <c r="H107" s="872" t="str">
        <f t="shared" si="25"/>
        <v>150000(含)-</v>
      </c>
      <c r="I107" s="872" t="str">
        <f t="shared" si="25"/>
        <v>(含)-</v>
      </c>
      <c r="J107" s="872" t="str">
        <f t="shared" si="25"/>
        <v>(含)-</v>
      </c>
      <c r="K107" s="3306" t="str">
        <f t="shared" si="25"/>
        <v>(含)-</v>
      </c>
      <c r="L107" s="3306" t="str">
        <f t="shared" si="25"/>
        <v>(含)-</v>
      </c>
      <c r="M107" s="3307" t="str">
        <f>M108&amp;"(含)"&amp;"-"&amp;P108</f>
        <v>(含)-</v>
      </c>
      <c r="N107" s="2372"/>
      <c r="O107" s="2372"/>
      <c r="P107" s="334"/>
      <c r="Q107" s="847"/>
    </row>
    <row r="108" spans="1:17" ht="15">
      <c r="A108" s="877"/>
      <c r="B108" s="1056"/>
      <c r="C108" s="938">
        <v>0</v>
      </c>
      <c r="D108" s="938">
        <v>30000</v>
      </c>
      <c r="E108" s="938">
        <v>60000</v>
      </c>
      <c r="F108" s="938">
        <v>90000</v>
      </c>
      <c r="G108" s="938">
        <v>120000</v>
      </c>
      <c r="H108" s="938">
        <v>150000</v>
      </c>
      <c r="I108" s="938"/>
      <c r="J108" s="939"/>
      <c r="K108" s="939"/>
      <c r="L108" s="940"/>
      <c r="M108" s="941"/>
      <c r="N108" s="2372"/>
      <c r="O108" s="2372"/>
      <c r="P108" s="334"/>
      <c r="Q108" s="847"/>
    </row>
    <row r="109" spans="1:17" ht="15.75" thickBot="1">
      <c r="A109" s="877"/>
      <c r="B109" s="1055"/>
      <c r="C109" s="913">
        <v>100</v>
      </c>
      <c r="D109" s="934">
        <v>101</v>
      </c>
      <c r="E109" s="934">
        <v>102</v>
      </c>
      <c r="F109" s="934">
        <v>103</v>
      </c>
      <c r="G109" s="934">
        <v>104</v>
      </c>
      <c r="H109" s="934">
        <v>105</v>
      </c>
      <c r="I109" s="934"/>
      <c r="J109" s="934"/>
      <c r="K109" s="934"/>
      <c r="L109" s="934"/>
      <c r="M109" s="935"/>
      <c r="N109" s="2373"/>
      <c r="O109" s="2373"/>
      <c r="P109" s="334"/>
      <c r="Q109" s="847"/>
    </row>
    <row r="110" spans="1:17" ht="15" thickTop="1">
      <c r="A110" s="942"/>
      <c r="B110" s="1054" t="s">
        <v>86</v>
      </c>
      <c r="C110" s="3333" t="s">
        <v>3148</v>
      </c>
      <c r="D110" s="3333" t="s">
        <v>3149</v>
      </c>
      <c r="E110" s="3333" t="s">
        <v>3150</v>
      </c>
      <c r="F110" s="926" t="s">
        <v>3151</v>
      </c>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2515</v>
      </c>
      <c r="C112" s="139" t="s">
        <v>3156</v>
      </c>
      <c r="D112" s="3334" t="s">
        <v>3152</v>
      </c>
      <c r="E112" s="3334" t="s">
        <v>3153</v>
      </c>
      <c r="F112" s="3334" t="s">
        <v>3154</v>
      </c>
      <c r="G112" s="3334" t="s">
        <v>3155</v>
      </c>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3334" t="s">
        <v>3157</v>
      </c>
      <c r="D114" s="3334" t="s">
        <v>3142</v>
      </c>
      <c r="E114" s="3334" t="s">
        <v>3140</v>
      </c>
      <c r="F114" s="3334" t="s">
        <v>3141</v>
      </c>
      <c r="G114" s="3334" t="s">
        <v>3158</v>
      </c>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topLeftCell="A18" workbookViewId="0">
      <selection activeCell="D87" sqref="D87"/>
    </sheetView>
  </sheetViews>
  <sheetFormatPr defaultRowHeight="13.5"/>
  <cols>
    <col min="1" max="1" width="16.625" customWidth="1"/>
    <col min="2" max="2" width="24.625" customWidth="1"/>
    <col min="5" max="5" width="14.375" customWidth="1"/>
    <col min="6" max="6" width="25.875" customWidth="1"/>
  </cols>
  <sheetData>
    <row r="1" spans="1:6" ht="22.5">
      <c r="A1" s="3330" t="s">
        <v>3054</v>
      </c>
    </row>
    <row r="2" spans="1:6">
      <c r="A2" t="s">
        <v>3055</v>
      </c>
      <c r="B2" t="s">
        <v>3056</v>
      </c>
      <c r="E2" t="s">
        <v>3086</v>
      </c>
      <c r="F2" s="3331">
        <v>42796</v>
      </c>
    </row>
    <row r="3" spans="1:6">
      <c r="A3" t="s">
        <v>3057</v>
      </c>
      <c r="B3" t="s">
        <v>3056</v>
      </c>
      <c r="E3" t="s">
        <v>3087</v>
      </c>
      <c r="F3" s="3331">
        <v>42816</v>
      </c>
    </row>
    <row r="4" spans="1:6">
      <c r="A4" t="s">
        <v>3058</v>
      </c>
      <c r="B4" t="s">
        <v>3059</v>
      </c>
      <c r="E4" t="s">
        <v>3088</v>
      </c>
      <c r="F4" s="3331">
        <v>42825</v>
      </c>
    </row>
    <row r="5" spans="1:6">
      <c r="A5" t="s">
        <v>3060</v>
      </c>
      <c r="B5" t="s">
        <v>3061</v>
      </c>
      <c r="E5" t="s">
        <v>3089</v>
      </c>
      <c r="F5" s="3331">
        <v>42825</v>
      </c>
    </row>
    <row r="6" spans="1:6">
      <c r="A6" t="s">
        <v>3062</v>
      </c>
      <c r="B6" t="s">
        <v>3063</v>
      </c>
      <c r="E6" t="s">
        <v>3090</v>
      </c>
      <c r="F6" t="s">
        <v>3091</v>
      </c>
    </row>
    <row r="7" spans="1:6">
      <c r="A7" t="s">
        <v>3064</v>
      </c>
      <c r="B7" t="s">
        <v>3065</v>
      </c>
      <c r="E7" t="s">
        <v>3092</v>
      </c>
      <c r="F7" t="s">
        <v>3093</v>
      </c>
    </row>
    <row r="8" spans="1:6">
      <c r="A8" t="s">
        <v>3066</v>
      </c>
      <c r="B8" t="s">
        <v>2952</v>
      </c>
      <c r="E8" t="s">
        <v>3094</v>
      </c>
      <c r="F8" t="s">
        <v>3093</v>
      </c>
    </row>
    <row r="9" spans="1:6">
      <c r="A9" t="s">
        <v>3067</v>
      </c>
      <c r="B9">
        <v>57814</v>
      </c>
      <c r="E9" t="s">
        <v>3095</v>
      </c>
      <c r="F9">
        <v>0</v>
      </c>
    </row>
    <row r="10" spans="1:6">
      <c r="A10" t="s">
        <v>3068</v>
      </c>
      <c r="B10" t="s">
        <v>3069</v>
      </c>
      <c r="E10" t="s">
        <v>3096</v>
      </c>
      <c r="F10" t="s">
        <v>3097</v>
      </c>
    </row>
    <row r="11" spans="1:6">
      <c r="A11" t="s">
        <v>3070</v>
      </c>
      <c r="B11" t="s">
        <v>3071</v>
      </c>
      <c r="E11" t="s">
        <v>3098</v>
      </c>
      <c r="F11" t="s">
        <v>3099</v>
      </c>
    </row>
    <row r="12" spans="1:6">
      <c r="A12" t="s">
        <v>3072</v>
      </c>
      <c r="B12" t="s">
        <v>2952</v>
      </c>
      <c r="E12" t="s">
        <v>3100</v>
      </c>
      <c r="F12">
        <v>150</v>
      </c>
    </row>
    <row r="13" spans="1:6">
      <c r="A13" t="s">
        <v>3073</v>
      </c>
      <c r="B13" t="s">
        <v>3074</v>
      </c>
      <c r="E13" t="s">
        <v>3101</v>
      </c>
      <c r="F13" t="s">
        <v>3102</v>
      </c>
    </row>
    <row r="14" spans="1:6">
      <c r="A14" t="s">
        <v>3075</v>
      </c>
      <c r="B14" t="s">
        <v>3076</v>
      </c>
      <c r="E14" t="s">
        <v>3103</v>
      </c>
      <c r="F14" t="s">
        <v>3102</v>
      </c>
    </row>
    <row r="15" spans="1:6">
      <c r="A15" t="s">
        <v>3077</v>
      </c>
      <c r="B15" t="s">
        <v>2952</v>
      </c>
      <c r="E15" t="s">
        <v>3104</v>
      </c>
      <c r="F15" t="s">
        <v>3105</v>
      </c>
    </row>
    <row r="16" spans="1:6">
      <c r="A16" t="s">
        <v>3078</v>
      </c>
      <c r="B16" t="s">
        <v>3079</v>
      </c>
      <c r="E16" t="s">
        <v>3106</v>
      </c>
      <c r="F16" t="s">
        <v>3105</v>
      </c>
    </row>
    <row r="17" spans="1:6">
      <c r="A17" t="s">
        <v>3080</v>
      </c>
      <c r="B17" t="s">
        <v>3081</v>
      </c>
      <c r="E17" t="s">
        <v>3107</v>
      </c>
      <c r="F17" t="s">
        <v>3093</v>
      </c>
    </row>
    <row r="18" spans="1:6">
      <c r="A18" t="s">
        <v>3082</v>
      </c>
      <c r="B18" t="s">
        <v>2952</v>
      </c>
      <c r="E18" t="s">
        <v>3108</v>
      </c>
      <c r="F18" t="s">
        <v>2952</v>
      </c>
    </row>
    <row r="19" spans="1:6">
      <c r="A19" t="s">
        <v>3083</v>
      </c>
      <c r="B19" t="s">
        <v>2952</v>
      </c>
      <c r="E19" t="s">
        <v>3109</v>
      </c>
      <c r="F19" t="s">
        <v>3110</v>
      </c>
    </row>
    <row r="20" spans="1:6">
      <c r="A20" t="s">
        <v>3084</v>
      </c>
      <c r="B20" t="s">
        <v>2952</v>
      </c>
      <c r="E20" t="s">
        <v>3111</v>
      </c>
      <c r="F20" t="s">
        <v>3112</v>
      </c>
    </row>
    <row r="21" spans="1:6">
      <c r="A21" t="s">
        <v>3085</v>
      </c>
      <c r="B21" t="s">
        <v>2952</v>
      </c>
      <c r="E21" t="s">
        <v>3113</v>
      </c>
      <c r="F21" t="s">
        <v>3114</v>
      </c>
    </row>
    <row r="22" spans="1:6">
      <c r="E22" t="s">
        <v>3115</v>
      </c>
      <c r="F22" t="s">
        <v>3116</v>
      </c>
    </row>
    <row r="23" spans="1:6">
      <c r="E23" t="s">
        <v>3117</v>
      </c>
      <c r="F23" t="s">
        <v>2952</v>
      </c>
    </row>
    <row r="25" spans="1:6" ht="22.5">
      <c r="A25" s="3330" t="s">
        <v>3054</v>
      </c>
    </row>
    <row r="26" spans="1:6">
      <c r="A26" t="s">
        <v>3055</v>
      </c>
      <c r="B26" t="s">
        <v>3056</v>
      </c>
      <c r="E26" t="s">
        <v>3086</v>
      </c>
      <c r="F26" s="3331">
        <v>42710</v>
      </c>
    </row>
    <row r="27" spans="1:6">
      <c r="A27" t="s">
        <v>3057</v>
      </c>
      <c r="B27" t="s">
        <v>3056</v>
      </c>
      <c r="E27" t="s">
        <v>3087</v>
      </c>
      <c r="F27" s="3331">
        <v>42731</v>
      </c>
    </row>
    <row r="28" spans="1:6">
      <c r="A28" t="s">
        <v>3058</v>
      </c>
      <c r="B28" t="s">
        <v>3118</v>
      </c>
      <c r="E28" t="s">
        <v>3088</v>
      </c>
      <c r="F28" s="3331">
        <v>42740</v>
      </c>
    </row>
    <row r="29" spans="1:6">
      <c r="A29" t="s">
        <v>3060</v>
      </c>
      <c r="B29" t="s">
        <v>3061</v>
      </c>
      <c r="E29" t="s">
        <v>3089</v>
      </c>
      <c r="F29" s="3331">
        <v>42740</v>
      </c>
    </row>
    <row r="30" spans="1:6">
      <c r="A30" t="s">
        <v>3062</v>
      </c>
      <c r="B30" t="s">
        <v>3063</v>
      </c>
      <c r="E30" t="s">
        <v>3090</v>
      </c>
      <c r="F30" t="s">
        <v>3091</v>
      </c>
    </row>
    <row r="31" spans="1:6">
      <c r="A31" t="s">
        <v>3064</v>
      </c>
      <c r="B31" t="s">
        <v>3119</v>
      </c>
      <c r="E31" t="s">
        <v>3092</v>
      </c>
      <c r="F31" t="s">
        <v>3123</v>
      </c>
    </row>
    <row r="32" spans="1:6">
      <c r="A32" t="s">
        <v>3066</v>
      </c>
      <c r="B32" t="s">
        <v>2952</v>
      </c>
      <c r="E32" t="s">
        <v>3094</v>
      </c>
      <c r="F32" t="s">
        <v>3123</v>
      </c>
    </row>
    <row r="33" spans="1:6">
      <c r="A33" t="s">
        <v>3067</v>
      </c>
      <c r="B33">
        <v>47662</v>
      </c>
      <c r="E33" t="s">
        <v>3095</v>
      </c>
      <c r="F33">
        <v>0</v>
      </c>
    </row>
    <row r="34" spans="1:6">
      <c r="A34" t="s">
        <v>3068</v>
      </c>
      <c r="B34" t="s">
        <v>3120</v>
      </c>
      <c r="E34" t="s">
        <v>3096</v>
      </c>
      <c r="F34" t="s">
        <v>3124</v>
      </c>
    </row>
    <row r="35" spans="1:6">
      <c r="A35" t="s">
        <v>3070</v>
      </c>
      <c r="B35" t="s">
        <v>3121</v>
      </c>
      <c r="E35" t="s">
        <v>3098</v>
      </c>
      <c r="F35" t="s">
        <v>3125</v>
      </c>
    </row>
    <row r="36" spans="1:6">
      <c r="A36" t="s">
        <v>3072</v>
      </c>
      <c r="B36" t="s">
        <v>2952</v>
      </c>
      <c r="E36" t="s">
        <v>3100</v>
      </c>
      <c r="F36">
        <v>154.04</v>
      </c>
    </row>
    <row r="37" spans="1:6">
      <c r="A37" t="s">
        <v>3073</v>
      </c>
      <c r="B37" t="s">
        <v>3074</v>
      </c>
      <c r="E37" t="s">
        <v>3101</v>
      </c>
      <c r="F37" t="s">
        <v>3126</v>
      </c>
    </row>
    <row r="38" spans="1:6">
      <c r="A38" t="s">
        <v>3075</v>
      </c>
      <c r="B38" t="s">
        <v>3079</v>
      </c>
      <c r="E38" t="s">
        <v>3103</v>
      </c>
      <c r="F38" t="s">
        <v>3126</v>
      </c>
    </row>
    <row r="39" spans="1:6">
      <c r="A39" t="s">
        <v>3077</v>
      </c>
      <c r="B39" t="s">
        <v>2952</v>
      </c>
      <c r="E39" t="s">
        <v>3104</v>
      </c>
      <c r="F39" t="s">
        <v>3127</v>
      </c>
    </row>
    <row r="40" spans="1:6">
      <c r="A40" t="s">
        <v>3078</v>
      </c>
      <c r="B40" t="s">
        <v>3122</v>
      </c>
      <c r="E40" t="s">
        <v>3106</v>
      </c>
      <c r="F40" t="s">
        <v>3127</v>
      </c>
    </row>
    <row r="41" spans="1:6">
      <c r="A41" t="s">
        <v>3080</v>
      </c>
      <c r="B41" t="s">
        <v>3081</v>
      </c>
      <c r="E41" t="s">
        <v>3107</v>
      </c>
      <c r="F41" t="s">
        <v>3123</v>
      </c>
    </row>
    <row r="42" spans="1:6">
      <c r="A42" t="s">
        <v>3082</v>
      </c>
      <c r="B42" t="s">
        <v>2952</v>
      </c>
      <c r="E42" t="s">
        <v>3108</v>
      </c>
      <c r="F42" t="s">
        <v>2952</v>
      </c>
    </row>
    <row r="43" spans="1:6">
      <c r="A43" t="s">
        <v>3083</v>
      </c>
      <c r="B43" t="s">
        <v>2952</v>
      </c>
      <c r="E43" t="s">
        <v>3109</v>
      </c>
      <c r="F43" t="s">
        <v>3110</v>
      </c>
    </row>
    <row r="44" spans="1:6">
      <c r="A44" t="s">
        <v>3084</v>
      </c>
      <c r="B44" t="s">
        <v>2952</v>
      </c>
      <c r="E44" t="s">
        <v>3111</v>
      </c>
      <c r="F44" t="s">
        <v>3128</v>
      </c>
    </row>
    <row r="45" spans="1:6">
      <c r="A45" t="s">
        <v>3085</v>
      </c>
      <c r="B45" t="s">
        <v>2952</v>
      </c>
      <c r="E45" t="s">
        <v>3113</v>
      </c>
      <c r="F45" t="s">
        <v>3114</v>
      </c>
    </row>
    <row r="46" spans="1:6">
      <c r="E46" t="s">
        <v>3115</v>
      </c>
      <c r="F46" t="s">
        <v>3116</v>
      </c>
    </row>
    <row r="47" spans="1:6">
      <c r="E47" t="s">
        <v>3117</v>
      </c>
      <c r="F47" t="s">
        <v>3129</v>
      </c>
    </row>
    <row r="50" spans="1:6" ht="22.5">
      <c r="A50" s="3330" t="s">
        <v>3130</v>
      </c>
    </row>
    <row r="51" spans="1:6">
      <c r="A51" t="s">
        <v>3055</v>
      </c>
      <c r="B51" t="s">
        <v>3131</v>
      </c>
      <c r="E51" t="s">
        <v>3086</v>
      </c>
      <c r="F51" s="3331">
        <v>42556</v>
      </c>
    </row>
    <row r="52" spans="1:6">
      <c r="A52" t="s">
        <v>3057</v>
      </c>
      <c r="B52" t="s">
        <v>3131</v>
      </c>
      <c r="E52" t="s">
        <v>3087</v>
      </c>
      <c r="F52" s="3331">
        <v>42576</v>
      </c>
    </row>
    <row r="53" spans="1:6">
      <c r="A53" t="s">
        <v>3058</v>
      </c>
      <c r="B53" t="s">
        <v>3132</v>
      </c>
      <c r="E53" t="s">
        <v>3088</v>
      </c>
      <c r="F53" s="3331">
        <v>42587</v>
      </c>
    </row>
    <row r="54" spans="1:6">
      <c r="A54" t="s">
        <v>3060</v>
      </c>
      <c r="B54" t="s">
        <v>3061</v>
      </c>
      <c r="E54" t="s">
        <v>3089</v>
      </c>
      <c r="F54" s="3331">
        <v>42587</v>
      </c>
    </row>
    <row r="55" spans="1:6">
      <c r="A55" t="s">
        <v>3062</v>
      </c>
      <c r="B55" t="s">
        <v>3063</v>
      </c>
      <c r="E55" t="s">
        <v>3090</v>
      </c>
      <c r="F55" t="s">
        <v>3091</v>
      </c>
    </row>
    <row r="56" spans="1:6">
      <c r="A56" t="s">
        <v>3064</v>
      </c>
      <c r="B56" t="s">
        <v>3133</v>
      </c>
      <c r="E56" t="s">
        <v>3092</v>
      </c>
      <c r="F56" t="s">
        <v>3136</v>
      </c>
    </row>
    <row r="57" spans="1:6">
      <c r="A57" t="s">
        <v>3066</v>
      </c>
      <c r="B57" t="s">
        <v>2952</v>
      </c>
      <c r="E57" t="s">
        <v>3094</v>
      </c>
      <c r="F57" t="s">
        <v>3136</v>
      </c>
    </row>
    <row r="58" spans="1:6">
      <c r="A58" t="s">
        <v>3067</v>
      </c>
      <c r="B58">
        <v>133333</v>
      </c>
      <c r="E58" t="s">
        <v>3095</v>
      </c>
      <c r="F58">
        <v>0</v>
      </c>
    </row>
    <row r="59" spans="1:6">
      <c r="A59" t="s">
        <v>3068</v>
      </c>
      <c r="B59" t="s">
        <v>3134</v>
      </c>
      <c r="E59" t="s">
        <v>3096</v>
      </c>
      <c r="F59" t="s">
        <v>3137</v>
      </c>
    </row>
    <row r="60" spans="1:6">
      <c r="A60" t="s">
        <v>3070</v>
      </c>
      <c r="B60" t="s">
        <v>3121</v>
      </c>
      <c r="E60" t="s">
        <v>3098</v>
      </c>
      <c r="F60" t="s">
        <v>3099</v>
      </c>
    </row>
    <row r="61" spans="1:6">
      <c r="A61" t="s">
        <v>3072</v>
      </c>
      <c r="B61" t="s">
        <v>2952</v>
      </c>
      <c r="E61" t="s">
        <v>3100</v>
      </c>
      <c r="F61">
        <v>150</v>
      </c>
    </row>
    <row r="62" spans="1:6">
      <c r="A62" t="s">
        <v>3073</v>
      </c>
      <c r="B62" t="s">
        <v>3135</v>
      </c>
      <c r="E62" t="s">
        <v>3101</v>
      </c>
      <c r="F62" t="s">
        <v>3102</v>
      </c>
    </row>
    <row r="63" spans="1:6">
      <c r="A63" t="s">
        <v>3075</v>
      </c>
      <c r="B63" t="s">
        <v>3076</v>
      </c>
      <c r="E63" t="s">
        <v>3103</v>
      </c>
      <c r="F63" t="s">
        <v>3102</v>
      </c>
    </row>
    <row r="64" spans="1:6">
      <c r="A64" t="s">
        <v>3077</v>
      </c>
      <c r="B64" t="s">
        <v>2952</v>
      </c>
      <c r="E64" t="s">
        <v>3104</v>
      </c>
      <c r="F64" t="s">
        <v>3138</v>
      </c>
    </row>
    <row r="65" spans="1:6">
      <c r="A65" t="s">
        <v>3078</v>
      </c>
      <c r="B65" t="s">
        <v>3122</v>
      </c>
      <c r="E65" t="s">
        <v>3106</v>
      </c>
      <c r="F65" t="s">
        <v>3138</v>
      </c>
    </row>
    <row r="66" spans="1:6">
      <c r="A66" t="s">
        <v>3080</v>
      </c>
      <c r="B66" t="s">
        <v>3081</v>
      </c>
      <c r="E66" t="s">
        <v>3107</v>
      </c>
      <c r="F66" t="s">
        <v>3136</v>
      </c>
    </row>
    <row r="67" spans="1:6">
      <c r="A67" t="s">
        <v>3082</v>
      </c>
      <c r="B67" t="s">
        <v>2952</v>
      </c>
      <c r="E67" t="s">
        <v>3108</v>
      </c>
      <c r="F67" t="s">
        <v>2952</v>
      </c>
    </row>
    <row r="68" spans="1:6">
      <c r="A68" t="s">
        <v>3083</v>
      </c>
      <c r="B68" t="s">
        <v>2952</v>
      </c>
      <c r="E68" t="s">
        <v>3109</v>
      </c>
      <c r="F68" t="s">
        <v>3110</v>
      </c>
    </row>
    <row r="69" spans="1:6">
      <c r="A69" t="s">
        <v>3084</v>
      </c>
      <c r="B69" t="s">
        <v>2952</v>
      </c>
      <c r="E69" t="s">
        <v>3111</v>
      </c>
      <c r="F69" t="s">
        <v>3139</v>
      </c>
    </row>
    <row r="70" spans="1:6">
      <c r="A70" t="s">
        <v>3085</v>
      </c>
      <c r="B70" t="s">
        <v>2952</v>
      </c>
      <c r="E70" t="s">
        <v>3113</v>
      </c>
      <c r="F70" t="s">
        <v>3114</v>
      </c>
    </row>
    <row r="71" spans="1:6">
      <c r="E71" t="s">
        <v>3115</v>
      </c>
      <c r="F71" t="s">
        <v>3116</v>
      </c>
    </row>
    <row r="72" spans="1:6">
      <c r="E72" t="s">
        <v>3117</v>
      </c>
      <c r="F72" t="s">
        <v>2952</v>
      </c>
    </row>
  </sheetData>
  <phoneticPr fontId="205"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B2" sqref="B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t="s">
        <v>3169</v>
      </c>
      <c r="D1" s="1274"/>
      <c r="E1" s="2587" t="s">
        <v>2457</v>
      </c>
      <c r="F1" s="2588">
        <f ca="1">J53</f>
        <v>36.72</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f ca="1">C40+J29+L46</f>
        <v>5818</v>
      </c>
      <c r="C2" s="1300" t="s">
        <v>1107</v>
      </c>
      <c r="D2" s="1276"/>
      <c r="E2" s="2577"/>
      <c r="F2" s="1277"/>
      <c r="G2" s="2289"/>
      <c r="H2" s="1275"/>
      <c r="I2" s="1275"/>
      <c r="J2" s="1275"/>
      <c r="K2" s="1299"/>
      <c r="L2" s="1275"/>
      <c r="M2" s="1275"/>
    </row>
    <row r="3" spans="1:37" ht="18" customHeight="1" thickBot="1">
      <c r="A3" s="675" t="s">
        <v>824</v>
      </c>
      <c r="B3" s="1408">
        <f ca="1">IF(ISERROR(B2*10000/F43),0,ROUND(B2*10000/F43,0))</f>
        <v>2897</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2547</v>
      </c>
      <c r="C5" s="2628">
        <f ca="1">C6+C10+C12</f>
        <v>468</v>
      </c>
      <c r="D5" s="2638" t="s">
        <v>2549</v>
      </c>
      <c r="E5" s="2629"/>
      <c r="F5" s="2630"/>
      <c r="G5" s="2290"/>
      <c r="H5" s="681">
        <v>1</v>
      </c>
      <c r="I5" s="682" t="s">
        <v>2547</v>
      </c>
      <c r="J5" s="2628">
        <f ca="1">J6+J10+J12</f>
        <v>0</v>
      </c>
      <c r="K5" s="2631" t="s">
        <v>2549</v>
      </c>
      <c r="L5" s="2629"/>
      <c r="M5" s="2630"/>
    </row>
    <row r="6" spans="1:37" ht="18" customHeight="1">
      <c r="A6" s="2624" t="s">
        <v>2554</v>
      </c>
      <c r="B6" s="3579" t="s">
        <v>2548</v>
      </c>
      <c r="C6" s="2633">
        <f ca="1">ROUND(F6*F8*F7*(1-F9)/10000,0)</f>
        <v>467</v>
      </c>
      <c r="D6" s="2627" t="s">
        <v>2550</v>
      </c>
      <c r="E6" s="684" t="s">
        <v>920</v>
      </c>
      <c r="F6" s="685">
        <f ca="1">INDIRECT("'数据-取费表'!u"&amp;$G$1)</f>
        <v>0.75</v>
      </c>
      <c r="G6" s="2290"/>
      <c r="H6" s="2624" t="s">
        <v>2557</v>
      </c>
      <c r="I6" s="3579" t="s">
        <v>2548</v>
      </c>
      <c r="J6" s="683">
        <f ca="1">ROUND(M6*M8*M7*(1-M9)/10000,0)</f>
        <v>0</v>
      </c>
      <c r="K6" s="2627" t="s">
        <v>2550</v>
      </c>
      <c r="L6" s="684" t="s">
        <v>920</v>
      </c>
      <c r="M6" s="685">
        <f ca="1">INDIRECT("'数据-取费表'!z"&amp;$G$1)</f>
        <v>0</v>
      </c>
    </row>
    <row r="7" spans="1:37" ht="18" customHeight="1">
      <c r="A7" s="2632"/>
      <c r="B7" s="3580"/>
      <c r="C7" s="2634"/>
      <c r="D7" s="2063"/>
      <c r="E7" s="2635" t="s">
        <v>921</v>
      </c>
      <c r="F7" s="685">
        <f ca="1">IF(INDIRECT("'数据-取费表'!ah"&amp;$G$1)="",INDIRECT("'数据-取费表'!k"&amp;$G$1),INDIRECT("'数据-取费表'!ah"&amp;$G$1))</f>
        <v>20083.5</v>
      </c>
      <c r="G7" s="2290"/>
      <c r="H7" s="686"/>
      <c r="I7" s="3580"/>
      <c r="J7" s="688"/>
      <c r="K7" s="689"/>
      <c r="L7" s="684" t="s">
        <v>921</v>
      </c>
      <c r="M7" s="685">
        <f ca="1">F7</f>
        <v>20083.5</v>
      </c>
    </row>
    <row r="8" spans="1:37" ht="18" customHeight="1">
      <c r="A8" s="686"/>
      <c r="B8" s="3580"/>
      <c r="C8" s="688"/>
      <c r="D8" s="689"/>
      <c r="E8" s="684" t="s">
        <v>922</v>
      </c>
      <c r="F8" s="685">
        <f ca="1">INDIRECT("'数据-取费表'!ai"&amp;$G$1)</f>
        <v>365</v>
      </c>
      <c r="G8" s="2290"/>
      <c r="H8" s="686"/>
      <c r="I8" s="3580"/>
      <c r="J8" s="688"/>
      <c r="K8" s="689"/>
      <c r="L8" s="684" t="s">
        <v>922</v>
      </c>
      <c r="M8" s="685">
        <f ca="1">INDIRECT("'数据-取费表'!ai"&amp;$G$1)</f>
        <v>365</v>
      </c>
    </row>
    <row r="9" spans="1:37" ht="18" customHeight="1">
      <c r="A9" s="686"/>
      <c r="B9" s="3581"/>
      <c r="C9" s="688"/>
      <c r="D9" s="689"/>
      <c r="E9" s="684" t="s">
        <v>923</v>
      </c>
      <c r="F9" s="694">
        <f ca="1">INDIRECT("'数据-取费表'!w"&amp;$G$1)</f>
        <v>0.15</v>
      </c>
      <c r="G9" s="2290"/>
      <c r="H9" s="686"/>
      <c r="I9" s="3581"/>
      <c r="J9" s="688"/>
      <c r="K9" s="689"/>
      <c r="L9" s="695" t="s">
        <v>923</v>
      </c>
      <c r="M9" s="696">
        <f ca="1">INDIRECT("'数据-取费表'!ab"&amp;$G$1)</f>
        <v>0</v>
      </c>
    </row>
    <row r="10" spans="1:37" ht="18" customHeight="1">
      <c r="A10" s="2624" t="s">
        <v>2555</v>
      </c>
      <c r="B10" s="2625" t="s">
        <v>2543</v>
      </c>
      <c r="C10" s="698">
        <f ca="1">ROUND(IF(F10="押一",F6*F8*F7/12*F11,IF(F10="押二",F6*F8*F7/12*2*F11,IF(F10="押三",F6*F8*F7/12*3*F11,C11*F11)))/10000,0)</f>
        <v>1</v>
      </c>
      <c r="D10" s="2636" t="s">
        <v>2551</v>
      </c>
      <c r="E10" s="2099" t="s">
        <v>2545</v>
      </c>
      <c r="F10" s="2833" t="s">
        <v>3200</v>
      </c>
      <c r="G10" s="2290"/>
      <c r="H10" s="2624" t="s">
        <v>2558</v>
      </c>
      <c r="I10" s="2625" t="s">
        <v>2543</v>
      </c>
      <c r="J10" s="683">
        <f ca="1">ROUND(IF(M10="押一",M6*M8*M7/12*M11,IF(M10="押二",M6*M8*M7/12*2*M11,IF(M10="押三",M6*M8*M7/12*3*M11,J11*M11)))/10000,0)</f>
        <v>0</v>
      </c>
      <c r="K10" s="2636" t="s">
        <v>2551</v>
      </c>
      <c r="L10" s="2099" t="s">
        <v>2545</v>
      </c>
      <c r="M10" s="2731" t="s">
        <v>2637</v>
      </c>
    </row>
    <row r="11" spans="1:37" ht="18" customHeight="1">
      <c r="A11" s="690"/>
      <c r="B11" s="2626" t="s">
        <v>2710</v>
      </c>
      <c r="C11" s="2417"/>
      <c r="D11" s="2872"/>
      <c r="E11" s="2099" t="s">
        <v>2546</v>
      </c>
      <c r="F11" s="696">
        <f ca="1">'数据-取费表'!B39</f>
        <v>1.4999999999999999E-2</v>
      </c>
      <c r="G11" s="2290"/>
      <c r="H11" s="2637"/>
      <c r="I11" s="2626" t="s">
        <v>2710</v>
      </c>
      <c r="J11" s="2417"/>
      <c r="K11" s="1281"/>
      <c r="L11" s="2099" t="s">
        <v>2546</v>
      </c>
      <c r="M11" s="2098">
        <f ca="1">'数据-取费表'!B39</f>
        <v>1.4999999999999999E-2</v>
      </c>
    </row>
    <row r="12" spans="1:37" ht="18" customHeight="1" thickBot="1">
      <c r="A12" s="2672" t="s">
        <v>2556</v>
      </c>
      <c r="B12" s="2673" t="s">
        <v>2544</v>
      </c>
      <c r="C12" s="2674"/>
      <c r="D12" s="2675"/>
      <c r="E12" s="2676"/>
      <c r="F12" s="2677"/>
      <c r="G12" s="2290"/>
      <c r="H12" s="2672" t="s">
        <v>2559</v>
      </c>
      <c r="I12" s="2673" t="s">
        <v>2544</v>
      </c>
      <c r="J12" s="2674"/>
      <c r="K12" s="2691"/>
      <c r="L12" s="2676"/>
      <c r="M12" s="2692"/>
    </row>
    <row r="13" spans="1:37" ht="18" customHeight="1" thickTop="1">
      <c r="A13" s="2668">
        <v>2</v>
      </c>
      <c r="B13" s="2669" t="s">
        <v>924</v>
      </c>
      <c r="C13" s="692">
        <f ca="1">ROUND(C29*F13,0)</f>
        <v>4251</v>
      </c>
      <c r="D13" s="2670" t="s">
        <v>925</v>
      </c>
      <c r="E13" s="2670" t="s">
        <v>926</v>
      </c>
      <c r="F13" s="2671">
        <f ca="1">INDIRECT("'数据-取费表'!y"&amp;$G$1)</f>
        <v>0.76</v>
      </c>
      <c r="G13" s="2290"/>
      <c r="H13" s="2668">
        <v>2</v>
      </c>
      <c r="I13" s="2669" t="s">
        <v>924</v>
      </c>
      <c r="J13" s="2623">
        <f ca="1">ROUND(J14*J15,0)</f>
        <v>0</v>
      </c>
      <c r="K13" s="2678" t="s">
        <v>925</v>
      </c>
      <c r="L13" s="2689"/>
      <c r="M13" s="2690"/>
    </row>
    <row r="14" spans="1:37" ht="18" customHeight="1">
      <c r="A14" s="2440" t="s">
        <v>2383</v>
      </c>
      <c r="B14" s="684" t="s">
        <v>360</v>
      </c>
      <c r="C14" s="702">
        <f ca="1">INDIRECT("'数据-取费表'!m"&amp;$G$1)+INDIRECT("'数据-取费表'!t"&amp;$G$1)</f>
        <v>4017</v>
      </c>
      <c r="D14" s="2217" t="s">
        <v>927</v>
      </c>
      <c r="E14" s="2216"/>
      <c r="F14" s="703"/>
      <c r="G14" s="2290"/>
      <c r="H14" s="2440" t="s">
        <v>2386</v>
      </c>
      <c r="I14" s="684" t="s">
        <v>928</v>
      </c>
      <c r="J14" s="313">
        <f ca="1">C29</f>
        <v>5594</v>
      </c>
      <c r="K14" s="303"/>
      <c r="L14" s="700"/>
      <c r="M14" s="701"/>
    </row>
    <row r="15" spans="1:37" s="706" customFormat="1" ht="18" customHeight="1" thickBot="1">
      <c r="A15" s="2440" t="s">
        <v>2620</v>
      </c>
      <c r="B15" s="684" t="s">
        <v>361</v>
      </c>
      <c r="C15" s="313">
        <f ca="1">ROUND(C14*F15,0)</f>
        <v>121</v>
      </c>
      <c r="D15" s="704" t="s">
        <v>929</v>
      </c>
      <c r="E15" s="704" t="s">
        <v>930</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ROUND(INDIRECT("'数据-取费表'!m"&amp;$G$1)*F16,0)</f>
        <v>0</v>
      </c>
      <c r="D16" s="684" t="s">
        <v>929</v>
      </c>
      <c r="E16" s="684" t="s">
        <v>930</v>
      </c>
      <c r="F16" s="707">
        <f ca="1">IF(INDIRECT("'数据-取费表'!c"&amp;$G$1)="住宅",'数据-取费表'!B34,0)</f>
        <v>0</v>
      </c>
      <c r="G16" s="2290"/>
      <c r="H16" s="2668" t="s">
        <v>2351</v>
      </c>
      <c r="I16" s="2669" t="s">
        <v>931</v>
      </c>
      <c r="J16" s="692">
        <f ca="1">ROUND(J17+J22+J23+J24,0)</f>
        <v>147</v>
      </c>
      <c r="K16" s="2678" t="s">
        <v>932</v>
      </c>
      <c r="L16" s="2679"/>
      <c r="M16" s="2630"/>
    </row>
    <row r="17" spans="1:37" s="706" customFormat="1" ht="18" customHeight="1">
      <c r="A17" s="2440" t="s">
        <v>2622</v>
      </c>
      <c r="B17" s="684" t="s">
        <v>363</v>
      </c>
      <c r="C17" s="313">
        <f ca="1">ROUND(F17*(F43+INDIRECT("'数据-取费表'!S"&amp;$G$1))/10000,0)</f>
        <v>402</v>
      </c>
      <c r="D17" s="684" t="s">
        <v>933</v>
      </c>
      <c r="E17" s="684" t="s">
        <v>934</v>
      </c>
      <c r="F17" s="315">
        <f>'数据-取费表'!B35</f>
        <v>200</v>
      </c>
      <c r="G17" s="2291"/>
      <c r="H17" s="2440" t="s">
        <v>2386</v>
      </c>
      <c r="I17" s="684" t="s">
        <v>364</v>
      </c>
      <c r="J17" s="313">
        <f ca="1">ROUND(IF(项目基本情况!B11="自然人",J5*M17,J18+J19+J20),1)</f>
        <v>62.7</v>
      </c>
      <c r="K17" s="2217" t="s">
        <v>935</v>
      </c>
      <c r="L17" s="2215"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60</v>
      </c>
      <c r="D18" s="684" t="s">
        <v>929</v>
      </c>
      <c r="E18" s="684" t="s">
        <v>930</v>
      </c>
      <c r="F18" s="707">
        <f>'数据-取费表'!B36</f>
        <v>1.4999999999999999E-2</v>
      </c>
      <c r="G18" s="2291"/>
      <c r="H18" s="2440" t="s">
        <v>2383</v>
      </c>
      <c r="I18" s="684" t="s">
        <v>937</v>
      </c>
      <c r="J18" s="313">
        <f ca="1">ROUND(J5*M18/(1+'数据-取费表'!C42),2)</f>
        <v>0</v>
      </c>
      <c r="K18" s="2215" t="s">
        <v>938</v>
      </c>
      <c r="L18" s="684" t="s">
        <v>930</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2554</v>
      </c>
      <c r="B19" s="684" t="s">
        <v>367</v>
      </c>
      <c r="C19" s="313">
        <f ca="1">SUM(C14:C18)</f>
        <v>4600</v>
      </c>
      <c r="D19" s="471" t="s">
        <v>939</v>
      </c>
      <c r="E19" s="2225"/>
      <c r="F19" s="315"/>
      <c r="G19" s="2290"/>
      <c r="H19" s="2440" t="s">
        <v>2620</v>
      </c>
      <c r="I19" s="684" t="s">
        <v>940</v>
      </c>
      <c r="J19" s="313">
        <f ca="1">IF(K19="按租金收入计税",ROUND(J5*M19,2),ROUND(C29*M19*0.7,2))</f>
        <v>46.99</v>
      </c>
      <c r="K19" s="1301" t="s">
        <v>2427</v>
      </c>
      <c r="L19" s="684" t="s">
        <v>930</v>
      </c>
      <c r="M19" s="707">
        <f>IF(K19="按租金收入计税",'数据-取费表'!B51,'数据-取费表'!B50)</f>
        <v>1.2E-2</v>
      </c>
    </row>
    <row r="20" spans="1:37" s="706" customFormat="1" ht="18" customHeight="1">
      <c r="A20" s="2440" t="s">
        <v>2624</v>
      </c>
      <c r="B20" s="684" t="s">
        <v>368</v>
      </c>
      <c r="C20" s="313">
        <f ca="1">ROUND(C19*F20,0)</f>
        <v>69</v>
      </c>
      <c r="D20" s="709" t="s">
        <v>941</v>
      </c>
      <c r="E20" s="684" t="s">
        <v>930</v>
      </c>
      <c r="F20" s="707">
        <f>'数据-取费表'!B37</f>
        <v>1.4999999999999999E-2</v>
      </c>
      <c r="G20" s="2291"/>
      <c r="H20" s="2440" t="s">
        <v>2621</v>
      </c>
      <c r="I20" s="496" t="s">
        <v>942</v>
      </c>
      <c r="J20" s="314">
        <f ca="1">ROUND(M20*M21/10000,2)</f>
        <v>15.67</v>
      </c>
      <c r="K20" s="710" t="s">
        <v>943</v>
      </c>
      <c r="L20" s="684" t="s">
        <v>944</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71</v>
      </c>
      <c r="D21" s="709" t="s">
        <v>946</v>
      </c>
      <c r="E21" s="684" t="s">
        <v>947</v>
      </c>
      <c r="F21" s="707">
        <f>'数据-取费表'!B38</f>
        <v>0.01</v>
      </c>
      <c r="G21" s="2291"/>
      <c r="H21" s="712"/>
      <c r="I21" s="693"/>
      <c r="J21" s="318"/>
      <c r="K21" s="713"/>
      <c r="L21" s="684" t="s">
        <v>948</v>
      </c>
      <c r="M21" s="685">
        <f ca="1">INDIRECT("'数据-取费表'!r"&amp;$G$1)</f>
        <v>52242.5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单利计息。建造成本、管理费用、销售费用产生的利息。</v>
      </c>
      <c r="E22" s="2225"/>
      <c r="F22" s="315"/>
      <c r="G22" s="2290"/>
      <c r="H22" s="2440" t="s">
        <v>2393</v>
      </c>
      <c r="I22" s="684" t="s">
        <v>950</v>
      </c>
      <c r="J22" s="313">
        <f ca="1">ROUND(J14*M22,1)</f>
        <v>83.9</v>
      </c>
      <c r="K22" s="2215" t="s">
        <v>951</v>
      </c>
      <c r="L22" s="684" t="s">
        <v>930</v>
      </c>
      <c r="M22" s="714">
        <f ca="1">INDIRECT("'数据-取费表'!Ak"&amp;$G$1)</f>
        <v>1.4999999999999999E-2</v>
      </c>
    </row>
    <row r="23" spans="1:37" s="706" customFormat="1" ht="18" customHeight="1">
      <c r="A23" s="2440" t="s">
        <v>2383</v>
      </c>
      <c r="B23" s="684" t="s">
        <v>2540</v>
      </c>
      <c r="C23" s="313">
        <f ca="1">IF('数据-取费表'!B22&lt;=1,ROUND(C19*F24*F23/2,0)+ROUND(C20*F24*F23/2,0),ROUND(C19*(POWER((1+F24),F23/2)-1),0)+ROUND(C20*(POWER((1+F24),F23/2)-1),0))</f>
        <v>102</v>
      </c>
      <c r="D23" s="2707" t="str">
        <f>IF(F23&lt;=1,"(建造成本+管理费用)×利率×(建设周期÷2)","(建造成本+管理费用)×((1+利率)^(建设周期÷2)-1)")</f>
        <v>(建造成本+管理费用)×利率×(建设周期÷2)</v>
      </c>
      <c r="E23" s="684" t="s">
        <v>952</v>
      </c>
      <c r="F23" s="711">
        <f>'数据-取费表'!B20</f>
        <v>1</v>
      </c>
      <c r="G23" s="2291"/>
      <c r="H23" s="2440" t="s">
        <v>2625</v>
      </c>
      <c r="I23" s="684" t="s">
        <v>369</v>
      </c>
      <c r="J23" s="313">
        <f ca="1">ROUND(J13*M23,1)</f>
        <v>0</v>
      </c>
      <c r="K23" s="2215" t="s">
        <v>953</v>
      </c>
      <c r="L23" s="684" t="s">
        <v>930</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2.0000000000000001E-4</v>
      </c>
      <c r="D24" s="2707" t="str">
        <f>IF(F23&lt;=1,"销售费用×利率×(建设周期÷2)","销售费用×((1+利率)^(建设周期÷2)-1)")</f>
        <v>销售费用×利率×(建设周期÷2)</v>
      </c>
      <c r="E24" s="684" t="s">
        <v>955</v>
      </c>
      <c r="F24" s="717">
        <f ca="1">'数据-取费表'!B40</f>
        <v>4.3499999999999997E-2</v>
      </c>
      <c r="G24" s="2291"/>
      <c r="H24" s="2680" t="s">
        <v>2626</v>
      </c>
      <c r="I24" s="2681" t="s">
        <v>368</v>
      </c>
      <c r="J24" s="2682">
        <f ca="1">ROUND(J5*M24,1)</f>
        <v>0</v>
      </c>
      <c r="K24" s="2683" t="s">
        <v>956</v>
      </c>
      <c r="L24" s="2681" t="s">
        <v>930</v>
      </c>
      <c r="M24" s="2677">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225"/>
      <c r="F25" s="315"/>
      <c r="G25" s="2290"/>
      <c r="H25" s="2668" t="s">
        <v>2366</v>
      </c>
      <c r="I25" s="2685" t="s">
        <v>958</v>
      </c>
      <c r="J25" s="692">
        <f ca="1">J5-J16</f>
        <v>-147</v>
      </c>
      <c r="K25" s="2686" t="s">
        <v>959</v>
      </c>
      <c r="L25" s="2687"/>
      <c r="M25" s="2688"/>
    </row>
    <row r="26" spans="1:37" ht="18" customHeight="1">
      <c r="A26" s="2440" t="s">
        <v>2383</v>
      </c>
      <c r="B26" s="684" t="s">
        <v>2541</v>
      </c>
      <c r="C26" s="313">
        <f ca="1">ROUND((C19+C20)*F26,0)</f>
        <v>467</v>
      </c>
      <c r="D26" s="709" t="s">
        <v>960</v>
      </c>
      <c r="E26" s="695" t="s">
        <v>961</v>
      </c>
      <c r="F26" s="694">
        <f ca="1">INDIRECT("'数据-取费表'!q"&amp;$G$1)</f>
        <v>0.1</v>
      </c>
      <c r="G26" s="2290"/>
      <c r="H26" s="681" t="s">
        <v>2369</v>
      </c>
      <c r="I26" s="682" t="s">
        <v>962</v>
      </c>
      <c r="J26" s="683">
        <f ca="1">IF(J5&lt;&gt;0,ROUND(J25*(1-((1+M28)/(1+M26))^M27)/(M26-M28),0),0)</f>
        <v>0</v>
      </c>
      <c r="K26" s="710" t="s">
        <v>963</v>
      </c>
      <c r="L26" s="684" t="s">
        <v>969</v>
      </c>
      <c r="M26" s="694">
        <f ca="1">INDIRECT("'数据-取费表'!I"&amp;$G$1)</f>
        <v>0.05</v>
      </c>
    </row>
    <row r="27" spans="1:37" ht="18" customHeight="1">
      <c r="A27" s="2440" t="s">
        <v>2389</v>
      </c>
      <c r="B27" s="684" t="s">
        <v>376</v>
      </c>
      <c r="C27" s="313">
        <f ca="1">ROUND(F21*F26,4)</f>
        <v>1E-3</v>
      </c>
      <c r="D27" s="709" t="s">
        <v>964</v>
      </c>
      <c r="E27" s="704"/>
      <c r="F27" s="705"/>
      <c r="G27" s="2290"/>
      <c r="H27" s="686"/>
      <c r="I27" s="687"/>
      <c r="J27" s="688"/>
      <c r="K27" s="718" t="s">
        <v>965</v>
      </c>
      <c r="L27" s="684" t="s">
        <v>970</v>
      </c>
      <c r="M27" s="719">
        <f ca="1">INDIRECT("'数据-取费表'!ag"&amp;$G$1)</f>
        <v>0</v>
      </c>
    </row>
    <row r="28" spans="1:37" s="706" customFormat="1" ht="18" customHeight="1">
      <c r="A28" s="2440" t="s">
        <v>2391</v>
      </c>
      <c r="B28" s="684" t="s">
        <v>377</v>
      </c>
      <c r="C28" s="313">
        <f>ROUND(F28/(1+'数据-取费表'!C42),4)</f>
        <v>5.2400000000000002E-2</v>
      </c>
      <c r="D28" s="709" t="s">
        <v>971</v>
      </c>
      <c r="E28" s="684" t="s">
        <v>930</v>
      </c>
      <c r="F28" s="707">
        <f>'数据-取费表'!B41</f>
        <v>5.5000000000000007E-2</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5594</v>
      </c>
      <c r="D29" s="2683"/>
      <c r="E29" s="2681"/>
      <c r="F29" s="2684"/>
      <c r="G29" s="2291"/>
      <c r="H29" s="720" t="s">
        <v>2376</v>
      </c>
      <c r="I29" s="721" t="s">
        <v>966</v>
      </c>
      <c r="J29" s="722">
        <f ca="1">ROUND(J26/(1+F40)^F41,0)</f>
        <v>0</v>
      </c>
      <c r="K29" s="723" t="s">
        <v>967</v>
      </c>
      <c r="L29" s="724"/>
      <c r="M29" s="725">
        <f ca="1">INDIRECT("'数据-取费表'!k"&amp;$G$1)</f>
        <v>20083.5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182</v>
      </c>
      <c r="D30" s="2678" t="s">
        <v>932</v>
      </c>
      <c r="E30" s="2679"/>
      <c r="F30" s="2630"/>
      <c r="G30" s="2290"/>
      <c r="H30" s="1278"/>
      <c r="I30" s="1279"/>
      <c r="J30" s="1280"/>
      <c r="K30" s="1281"/>
      <c r="L30" s="1282"/>
      <c r="M30" s="1283"/>
    </row>
    <row r="31" spans="1:37" ht="18" customHeight="1">
      <c r="A31" s="2440" t="s">
        <v>2554</v>
      </c>
      <c r="B31" s="684" t="s">
        <v>364</v>
      </c>
      <c r="C31" s="313">
        <f ca="1">ROUND(IF(项目基本情况!B11="自然人",C5*F31,C32+C33+C34),1)</f>
        <v>87.2</v>
      </c>
      <c r="D31" s="2217" t="s">
        <v>935</v>
      </c>
      <c r="E31" s="2215" t="s">
        <v>974</v>
      </c>
      <c r="F31" s="708">
        <f ca="1">IF(项目基本情况!B11="企业","",IF(INDIRECT("'数据-取费表'!c"&amp;$G$1)="住宅",5%,IF(F6*F7*F8/12/(1+'数据-取费表'!C42)&gt;20000,12%,7%)))</f>
        <v>0.12</v>
      </c>
      <c r="G31" s="2290"/>
      <c r="H31" s="1278"/>
      <c r="I31" s="1279"/>
      <c r="J31" s="1280"/>
      <c r="K31" s="1281"/>
      <c r="L31" s="1282"/>
      <c r="M31" s="1283"/>
    </row>
    <row r="32" spans="1:37" ht="18" customHeight="1">
      <c r="A32" s="2440" t="s">
        <v>2619</v>
      </c>
      <c r="B32" s="684" t="s">
        <v>937</v>
      </c>
      <c r="C32" s="313">
        <f ca="1">IF(项目基本情况!B11="自然人","——",ROUND(C5*F32/(1+'数据-取费表'!C42),2))</f>
        <v>24.51</v>
      </c>
      <c r="D32" s="2215" t="s">
        <v>938</v>
      </c>
      <c r="E32" s="684" t="s">
        <v>930</v>
      </c>
      <c r="F32" s="717">
        <f>'数据-取费表'!B41</f>
        <v>5.5000000000000007E-2</v>
      </c>
      <c r="G32" s="2290"/>
      <c r="H32" s="1284"/>
      <c r="I32" s="1285"/>
      <c r="J32" s="1286"/>
      <c r="K32" s="1287"/>
      <c r="L32" s="1288"/>
      <c r="M32" s="1289"/>
    </row>
    <row r="33" spans="1:18" ht="18" customHeight="1">
      <c r="A33" s="2440" t="s">
        <v>2620</v>
      </c>
      <c r="B33" s="684" t="s">
        <v>940</v>
      </c>
      <c r="C33" s="313">
        <f ca="1">IF(项目基本情况!B11="自然人","——",IF(D33="按租金收入计税",ROUND(C5*F33,2),IF(D33="按房产原值计税",ROUND(C29*F33*0.7,2),INDIRECT("'数据-取费表'!Aj"&amp;$G$1))))</f>
        <v>46.99</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975</v>
      </c>
      <c r="C34" s="314">
        <f ca="1">IF(项目基本情况!B11="自然人","——",ROUND(F34*F35/10000,2))</f>
        <v>15.67</v>
      </c>
      <c r="D34" s="710" t="s">
        <v>976</v>
      </c>
      <c r="E34" s="684" t="s">
        <v>977</v>
      </c>
      <c r="F34" s="711">
        <f>'数据-取费表'!B52</f>
        <v>3</v>
      </c>
      <c r="G34" s="2290"/>
      <c r="H34" s="1278"/>
      <c r="I34" s="2886"/>
      <c r="J34" s="2887"/>
      <c r="K34" s="1292"/>
      <c r="L34" s="1293"/>
      <c r="M34" s="1293"/>
    </row>
    <row r="35" spans="1:18" ht="18" customHeight="1">
      <c r="A35" s="2698"/>
      <c r="B35" s="2696"/>
      <c r="C35" s="318"/>
      <c r="D35" s="713"/>
      <c r="E35" s="684" t="s">
        <v>948</v>
      </c>
      <c r="F35" s="685">
        <f ca="1">INDIRECT("'数据-取费表'!r"&amp;$G$1)</f>
        <v>52242.5</v>
      </c>
      <c r="G35" s="2290"/>
      <c r="H35" s="1278"/>
      <c r="I35" s="2886"/>
      <c r="J35" s="2887"/>
      <c r="K35" s="1291"/>
      <c r="L35" s="1290"/>
      <c r="M35" s="1290"/>
    </row>
    <row r="36" spans="1:18" ht="18" customHeight="1">
      <c r="A36" s="2697" t="s">
        <v>2393</v>
      </c>
      <c r="B36" s="684" t="s">
        <v>950</v>
      </c>
      <c r="C36" s="313">
        <f ca="1">ROUND(C29*F36,1)</f>
        <v>83.9</v>
      </c>
      <c r="D36" s="2215" t="s">
        <v>980</v>
      </c>
      <c r="E36" s="684" t="s">
        <v>981</v>
      </c>
      <c r="F36" s="714">
        <f ca="1">INDIRECT("'数据-取费表'!Ak"&amp;$G$1)</f>
        <v>1.4999999999999999E-2</v>
      </c>
      <c r="G36" s="2290"/>
      <c r="H36" s="1290"/>
      <c r="I36" s="2886"/>
      <c r="J36" s="2887"/>
      <c r="K36" s="1294"/>
      <c r="L36" s="1290"/>
      <c r="M36" s="1290"/>
    </row>
    <row r="37" spans="1:18" ht="18" customHeight="1">
      <c r="A37" s="2440" t="s">
        <v>2625</v>
      </c>
      <c r="B37" s="684" t="s">
        <v>369</v>
      </c>
      <c r="C37" s="313">
        <f ca="1">ROUND(C13*F37,1)</f>
        <v>6.4</v>
      </c>
      <c r="D37" s="2215" t="s">
        <v>370</v>
      </c>
      <c r="E37" s="684" t="s">
        <v>371</v>
      </c>
      <c r="F37" s="716">
        <f ca="1">INDIRECT("'数据-取费表'!Al"&amp;$G$1)</f>
        <v>1.5E-3</v>
      </c>
      <c r="G37" s="2290"/>
      <c r="H37" s="1290"/>
      <c r="I37" s="2886"/>
      <c r="J37" s="2887"/>
      <c r="K37" s="1294"/>
      <c r="L37" s="1290"/>
      <c r="M37" s="1290"/>
    </row>
    <row r="38" spans="1:18" ht="18" customHeight="1" thickBot="1">
      <c r="A38" s="2680" t="s">
        <v>2626</v>
      </c>
      <c r="B38" s="2681" t="s">
        <v>368</v>
      </c>
      <c r="C38" s="2682">
        <f ca="1">ROUND(C5*F38,1)</f>
        <v>4.7</v>
      </c>
      <c r="D38" s="2683" t="s">
        <v>372</v>
      </c>
      <c r="E38" s="2681" t="s">
        <v>371</v>
      </c>
      <c r="F38" s="2677">
        <f ca="1">INDIRECT("'数据-取费表'!Am"&amp;$G$1)</f>
        <v>0.01</v>
      </c>
      <c r="G38" s="2290"/>
      <c r="H38" s="1290"/>
      <c r="I38" s="2886"/>
      <c r="J38" s="2887"/>
      <c r="K38" s="1295"/>
      <c r="L38" s="1290"/>
      <c r="M38" s="1290"/>
    </row>
    <row r="39" spans="1:18" ht="24.6" customHeight="1" thickTop="1">
      <c r="A39" s="2668" t="s">
        <v>2366</v>
      </c>
      <c r="B39" s="2685" t="s">
        <v>378</v>
      </c>
      <c r="C39" s="692">
        <f ca="1">C5-C30</f>
        <v>286</v>
      </c>
      <c r="D39" s="2686" t="s">
        <v>379</v>
      </c>
      <c r="E39" s="2687"/>
      <c r="F39" s="2688"/>
      <c r="G39" s="2290"/>
      <c r="H39" s="1290"/>
      <c r="I39" s="2886"/>
      <c r="J39" s="2887"/>
      <c r="K39" s="1295"/>
      <c r="L39" s="1290"/>
      <c r="M39" s="1290"/>
    </row>
    <row r="40" spans="1:18" ht="18" customHeight="1">
      <c r="A40" s="681" t="s">
        <v>2369</v>
      </c>
      <c r="B40" s="682" t="s">
        <v>380</v>
      </c>
      <c r="C40" s="683">
        <f ca="1">ROUND(C39*(1-((1+F42)/(1+F40))^F41)/(F40-F42),0)</f>
        <v>5818</v>
      </c>
      <c r="D40" s="710" t="s">
        <v>374</v>
      </c>
      <c r="E40" s="684" t="s">
        <v>375</v>
      </c>
      <c r="F40" s="694">
        <f ca="1">INDIRECT("'数据-取费表'!I"&amp;$G$1)</f>
        <v>0.05</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36.72</v>
      </c>
      <c r="G41" s="2290"/>
      <c r="H41" s="1192"/>
      <c r="I41" s="2886"/>
      <c r="J41" s="2887"/>
      <c r="K41" s="1294"/>
      <c r="L41" s="1192"/>
      <c r="M41" s="1192"/>
    </row>
    <row r="42" spans="1:18" ht="18" customHeight="1">
      <c r="A42" s="690"/>
      <c r="B42" s="691"/>
      <c r="C42" s="692"/>
      <c r="D42" s="713"/>
      <c r="E42" s="684" t="s">
        <v>383</v>
      </c>
      <c r="F42" s="694">
        <f ca="1">INDIRECT("'数据-取费表'!v"&amp;$G$1)</f>
        <v>1.4999999999999999E-2</v>
      </c>
      <c r="G42" s="2290"/>
      <c r="H42" s="1192"/>
      <c r="I42" s="2886"/>
      <c r="J42" s="2887"/>
      <c r="K42" s="1294"/>
      <c r="L42" s="1192"/>
      <c r="M42" s="1192"/>
    </row>
    <row r="43" spans="1:18" ht="18" customHeight="1" thickBot="1">
      <c r="A43" s="720" t="s">
        <v>2376</v>
      </c>
      <c r="B43" s="721" t="s">
        <v>384</v>
      </c>
      <c r="C43" s="722">
        <f ca="1">ROUND(C40*10000/F43,0)</f>
        <v>2897</v>
      </c>
      <c r="D43" s="723" t="s">
        <v>385</v>
      </c>
      <c r="E43" s="724" t="s">
        <v>386</v>
      </c>
      <c r="F43" s="725">
        <f ca="1">INDIRECT("'数据-取费表'!k"&amp;$G$1)</f>
        <v>20083.5</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2500</v>
      </c>
      <c r="P45" s="1296"/>
      <c r="Q45" s="1296"/>
      <c r="R45" s="1296"/>
    </row>
    <row r="46" spans="1:18" s="1455" customFormat="1" ht="21" thickBot="1">
      <c r="A46" s="2398" t="s">
        <v>2338</v>
      </c>
      <c r="B46" s="2399"/>
      <c r="C46" s="2727">
        <f ca="1">C68-C40</f>
        <v>-8368</v>
      </c>
      <c r="D46" s="2728" t="str">
        <f>C2</f>
        <v>万元</v>
      </c>
      <c r="E46" s="1433"/>
      <c r="F46" s="1433"/>
      <c r="I46" s="2580" t="s">
        <v>2435</v>
      </c>
      <c r="J46" s="2581"/>
      <c r="K46" s="2582"/>
      <c r="L46" s="2584" t="str">
        <f ca="1">IF(M47="住宅",0,IF(L48&gt;J51,L60,J60))</f>
        <v>0</v>
      </c>
      <c r="O46" s="2596" t="s">
        <v>2478</v>
      </c>
      <c r="P46" s="2597" t="s">
        <v>2479</v>
      </c>
      <c r="Q46" s="2598" t="s">
        <v>2477</v>
      </c>
      <c r="R46" s="2598" t="s">
        <v>2480</v>
      </c>
    </row>
    <row r="47" spans="1:18" s="1455" customFormat="1" ht="15.75" thickBot="1">
      <c r="A47" s="2400" t="s">
        <v>2340</v>
      </c>
      <c r="B47" s="2436" t="s">
        <v>2341</v>
      </c>
      <c r="C47" s="2732" t="s">
        <v>2342</v>
      </c>
      <c r="D47" s="2436" t="s">
        <v>2343</v>
      </c>
      <c r="E47" s="2539" t="s">
        <v>2344</v>
      </c>
      <c r="F47" s="2540"/>
      <c r="G47" s="1457"/>
      <c r="I47" s="2555" t="s">
        <v>2428</v>
      </c>
      <c r="J47" s="2556" t="s">
        <v>3172</v>
      </c>
      <c r="K47" s="2565" t="s">
        <v>2451</v>
      </c>
      <c r="L47" s="2566">
        <f ca="1">INDIRECT("'数据-取费表'!d"&amp;$G$1)</f>
        <v>50</v>
      </c>
      <c r="M47" s="2586" t="str">
        <f>IF(ISNUMBER(FIND("住宅",C1)),"住宅","非住宅")</f>
        <v>非住宅</v>
      </c>
      <c r="O47" s="2589" t="s">
        <v>2463</v>
      </c>
      <c r="P47" s="2599" t="s">
        <v>2481</v>
      </c>
      <c r="Q47" s="2590">
        <f ca="1">C40+J29</f>
        <v>5818</v>
      </c>
      <c r="R47" s="2590" t="s">
        <v>2482</v>
      </c>
    </row>
    <row r="48" spans="1:18" s="1455" customFormat="1" ht="47.25" thickBot="1">
      <c r="A48" s="2713" t="s">
        <v>2631</v>
      </c>
      <c r="B48" s="682" t="s">
        <v>2345</v>
      </c>
      <c r="C48" s="2723">
        <f ca="1">C49+C53+C55</f>
        <v>0</v>
      </c>
      <c r="D48" s="2717"/>
      <c r="E48" s="2718"/>
      <c r="F48" s="2420"/>
      <c r="G48" s="1457"/>
      <c r="H48" s="1458"/>
      <c r="I48" s="2546" t="s">
        <v>2429</v>
      </c>
      <c r="J48" s="2557" t="s">
        <v>2433</v>
      </c>
      <c r="K48" s="2567" t="s">
        <v>2452</v>
      </c>
      <c r="L48" s="2170">
        <f ca="1">INDIRECT("'数据-取费表'!f"&amp;$G$1)</f>
        <v>36.72</v>
      </c>
      <c r="O48" s="2589" t="s">
        <v>2464</v>
      </c>
      <c r="P48" s="2599" t="s">
        <v>2483</v>
      </c>
      <c r="Q48" s="2590" t="str">
        <f ca="1">J60</f>
        <v>0</v>
      </c>
      <c r="R48" s="2590" t="s">
        <v>2491</v>
      </c>
    </row>
    <row r="49" spans="1:18" s="1455" customFormat="1" ht="15.75" thickBot="1">
      <c r="A49" s="2433" t="s">
        <v>2632</v>
      </c>
      <c r="B49" s="2716" t="s">
        <v>2634</v>
      </c>
      <c r="C49" s="2725">
        <f ca="1">ROUND(F49*F51*F50*(1-F52)/10000,0)</f>
        <v>0</v>
      </c>
      <c r="D49" s="2535" t="s">
        <v>2346</v>
      </c>
      <c r="E49" s="2538" t="s">
        <v>2339</v>
      </c>
      <c r="F49" s="2541"/>
      <c r="G49" s="1459"/>
      <c r="H49" s="1458"/>
      <c r="I49" s="2546" t="s">
        <v>2449</v>
      </c>
      <c r="J49" s="2558">
        <v>2005</v>
      </c>
      <c r="K49" s="2568" t="s">
        <v>2454</v>
      </c>
      <c r="L49" s="2569"/>
      <c r="O49" s="2591" t="s">
        <v>2465</v>
      </c>
      <c r="P49" s="2599" t="s">
        <v>2484</v>
      </c>
      <c r="Q49" s="2590">
        <f ca="1">C29</f>
        <v>5594</v>
      </c>
      <c r="R49" s="2590" t="s">
        <v>2482</v>
      </c>
    </row>
    <row r="50" spans="1:18" s="1455" customFormat="1" ht="15.75" thickBot="1">
      <c r="A50" s="2434"/>
      <c r="B50" s="2437"/>
      <c r="C50" s="2733"/>
      <c r="D50" s="2407"/>
      <c r="E50" s="2536" t="s">
        <v>2347</v>
      </c>
      <c r="F50" s="2537">
        <f ca="1">F7</f>
        <v>20083.5</v>
      </c>
      <c r="H50" s="1458"/>
      <c r="I50" s="2546" t="s">
        <v>2431</v>
      </c>
      <c r="J50" s="2559">
        <f>SUMPRODUCT((I63:I65=J47)*(J62:L62=J48)*(J63:L65))</f>
        <v>50</v>
      </c>
      <c r="K50" s="2568" t="s">
        <v>2455</v>
      </c>
      <c r="L50" s="2569"/>
      <c r="M50" s="2563"/>
      <c r="O50" s="2591" t="s">
        <v>2466</v>
      </c>
      <c r="P50" s="2599" t="s">
        <v>2492</v>
      </c>
      <c r="Q50" s="2592" t="e">
        <f ca="1">J58</f>
        <v>#VALUE!</v>
      </c>
      <c r="R50" s="2590"/>
    </row>
    <row r="51" spans="1:18" s="1455" customFormat="1" ht="15.75" thickBot="1">
      <c r="A51" s="2435"/>
      <c r="B51" s="2437"/>
      <c r="C51" s="2438"/>
      <c r="D51" s="2407"/>
      <c r="E51" s="2439" t="s">
        <v>2348</v>
      </c>
      <c r="F51" s="685">
        <f ca="1">F8</f>
        <v>365</v>
      </c>
      <c r="I51" s="2560" t="s">
        <v>2436</v>
      </c>
      <c r="J51" s="2561">
        <f>IF(J49="",J50,J49+J50-YEAR('数据-取费表'!B2))</f>
        <v>38</v>
      </c>
      <c r="K51" s="2570" t="s">
        <v>2456</v>
      </c>
      <c r="L51" s="2583">
        <f ca="1">ROUND(-PV(INDIRECT("'数据-取费表'!h"&amp;$G$1),L48,(C39-C13*C76),0),0)</f>
        <v>1807</v>
      </c>
      <c r="M51" s="2564"/>
      <c r="O51" s="2591" t="s">
        <v>2467</v>
      </c>
      <c r="P51" s="2599" t="s">
        <v>2493</v>
      </c>
      <c r="Q51" s="2592">
        <f>J52</f>
        <v>0</v>
      </c>
      <c r="R51" s="2590"/>
    </row>
    <row r="52" spans="1:18" s="1455" customFormat="1" ht="15.75" thickBot="1">
      <c r="A52" s="2435"/>
      <c r="B52" s="2437"/>
      <c r="C52" s="2438"/>
      <c r="D52" s="2407"/>
      <c r="E52" s="2439" t="s">
        <v>2349</v>
      </c>
      <c r="F52" s="2534"/>
      <c r="I52" s="2562" t="s">
        <v>2459</v>
      </c>
      <c r="J52" s="2576"/>
      <c r="K52" s="2562" t="s">
        <v>2444</v>
      </c>
      <c r="L52" s="2576"/>
      <c r="M52" s="2399"/>
      <c r="O52" s="2591" t="s">
        <v>2468</v>
      </c>
      <c r="P52" s="2599" t="s">
        <v>2485</v>
      </c>
      <c r="Q52" s="2590">
        <f ca="1">J53</f>
        <v>36.72</v>
      </c>
      <c r="R52" s="2590" t="s">
        <v>2486</v>
      </c>
    </row>
    <row r="53" spans="1:18" s="1455" customFormat="1" ht="43.5" thickBot="1">
      <c r="A53" s="2831" t="s">
        <v>2633</v>
      </c>
      <c r="B53" s="433" t="s">
        <v>2543</v>
      </c>
      <c r="C53" s="698">
        <f ca="1">ROUND(IF(F53="押一",F49*F51*F50/12*F11,IF(F53="押二",F49*F51*F50/12*2*F11,IF(F53="押三",F49*F51*F50/12*3*F11,C54*F11)))/10000,0)</f>
        <v>0</v>
      </c>
      <c r="D53" s="2636" t="s">
        <v>2551</v>
      </c>
      <c r="E53" s="2099" t="s">
        <v>2545</v>
      </c>
      <c r="F53" s="2833"/>
      <c r="I53" s="2572" t="s">
        <v>2461</v>
      </c>
      <c r="J53" s="2573">
        <f ca="1">IF(M47="住宅",J51,MIN(J51,L48))</f>
        <v>36.72</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589" t="s">
        <v>2469</v>
      </c>
      <c r="P53" s="2599" t="s">
        <v>2487</v>
      </c>
      <c r="Q53" s="2590">
        <f ca="1">Q47+Q48</f>
        <v>5818</v>
      </c>
      <c r="R53" s="2590" t="s">
        <v>2470</v>
      </c>
    </row>
    <row r="54" spans="1:18" s="1455" customFormat="1" ht="16.5" thickBot="1">
      <c r="A54" s="2832"/>
      <c r="B54" s="2626" t="s">
        <v>2710</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2"/>
      <c r="F55" s="2542"/>
      <c r="I55" s="3324" t="s">
        <v>2437</v>
      </c>
      <c r="J55" s="3323" t="e">
        <f ca="1">ROUND(IF(J47="钢混",J57/J50,1-(1-2%)*(J50-J57)/J50),3)</f>
        <v>#VALUE!</v>
      </c>
      <c r="K55" s="2553" t="s">
        <v>2438</v>
      </c>
      <c r="L55" s="2575"/>
      <c r="O55" s="2596" t="s">
        <v>2478</v>
      </c>
      <c r="P55" s="2597" t="s">
        <v>2479</v>
      </c>
      <c r="Q55" s="2598" t="s">
        <v>2477</v>
      </c>
      <c r="R55" s="2598" t="s">
        <v>2480</v>
      </c>
    </row>
    <row r="56" spans="1:18" s="1455" customFormat="1" ht="44.25" thickTop="1" thickBot="1">
      <c r="A56" s="2411">
        <v>2</v>
      </c>
      <c r="B56" s="2412" t="s">
        <v>2350</v>
      </c>
      <c r="C56" s="608">
        <f ca="1">C13</f>
        <v>4251</v>
      </c>
      <c r="D56" s="2700"/>
      <c r="E56" s="2413"/>
      <c r="F56" s="2542"/>
      <c r="I56" s="2545" t="s">
        <v>2439</v>
      </c>
      <c r="J56" s="2574" t="s">
        <v>3168</v>
      </c>
      <c r="K56" s="2546" t="s">
        <v>2443</v>
      </c>
      <c r="L56" s="2170" t="str">
        <f ca="1">IF(L48&lt;J51,"——",L48-J51)</f>
        <v>——</v>
      </c>
      <c r="O56" s="2589" t="s">
        <v>2463</v>
      </c>
      <c r="P56" s="2599" t="s">
        <v>2481</v>
      </c>
      <c r="Q56" s="2590">
        <f ca="1">C40+J29</f>
        <v>5818</v>
      </c>
      <c r="R56" s="2590" t="s">
        <v>2482</v>
      </c>
    </row>
    <row r="57" spans="1:18" s="1455" customFormat="1" ht="29.25" thickBot="1">
      <c r="A57" s="2543"/>
      <c r="B57" s="2404" t="s">
        <v>2380</v>
      </c>
      <c r="C57" s="614">
        <f ca="1">C29</f>
        <v>5594</v>
      </c>
      <c r="D57" s="2415"/>
      <c r="E57" s="2416"/>
      <c r="F57" s="2544"/>
      <c r="I57" s="2547" t="s">
        <v>2460</v>
      </c>
      <c r="J57" s="2551" t="str">
        <f ca="1">IF(OR(M47="住宅",J51&lt;L48,J56="是"),"——",J51-L48)</f>
        <v>——</v>
      </c>
      <c r="K57" s="2546" t="s">
        <v>2915</v>
      </c>
      <c r="L57" s="2170" t="str">
        <f ca="1">IF(L48&lt;J51,"——",IF(L55="比较法",L49,IF(L55="基准地价",L50,L51)))</f>
        <v>——</v>
      </c>
      <c r="O57" s="2589" t="s">
        <v>2464</v>
      </c>
      <c r="P57" s="2599" t="s">
        <v>2488</v>
      </c>
      <c r="Q57" s="2590">
        <f ca="1">L60</f>
        <v>0</v>
      </c>
      <c r="R57" s="2590" t="s">
        <v>2503</v>
      </c>
    </row>
    <row r="58" spans="1:18" s="1455" customFormat="1" ht="29.25" thickBot="1">
      <c r="A58" s="697" t="s">
        <v>2351</v>
      </c>
      <c r="B58" s="2412" t="s">
        <v>2381</v>
      </c>
      <c r="C58" s="698">
        <f ca="1">ROUND(C59+C64+C65+C66,0)</f>
        <v>153</v>
      </c>
      <c r="D58" s="2418" t="s">
        <v>2382</v>
      </c>
      <c r="E58" s="2419"/>
      <c r="F58" s="2420"/>
      <c r="I58" s="2547" t="s">
        <v>2440</v>
      </c>
      <c r="J58" s="3325" t="e">
        <f ca="1">IF(J55&lt;0.4,0.4,J55)</f>
        <v>#VALUE!</v>
      </c>
      <c r="K58" s="2570" t="s">
        <v>2916</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ROUND(IF(项目基本情况!B11="自然人",C48*F59,C60+C61+C62),1)</f>
        <v>62.7</v>
      </c>
      <c r="D59" s="2421" t="s">
        <v>2352</v>
      </c>
      <c r="E59" s="2422" t="s">
        <v>2353</v>
      </c>
      <c r="F59" s="708">
        <f ca="1">IF(项目基本情况!B11="企业","",IF(INDIRECT("'数据-取费表'!c"&amp;$G$1)="住宅",5%,IF(F49*F50*F51/12/(1+'数据-取费表'!C42)&gt;20000,12%,7%)))</f>
        <v>7.0000000000000007E-2</v>
      </c>
      <c r="I59" s="2547" t="s">
        <v>2441</v>
      </c>
      <c r="J59" s="2551" t="str">
        <f ca="1">IF(OR(M47="住宅",J51&lt;L48,J56="是"),"——",ROUND(C29*J58,0))</f>
        <v>——</v>
      </c>
      <c r="K59" s="2570" t="s">
        <v>2917</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2354</v>
      </c>
      <c r="C60" s="313">
        <f ca="1">IF(项目基本情况!B11="自然人","——",ROUND(C48*F60/(1+'数据-取费表'!C42),2))</f>
        <v>0</v>
      </c>
      <c r="D60" s="2422" t="s">
        <v>2355</v>
      </c>
      <c r="E60" s="2404" t="s">
        <v>2356</v>
      </c>
      <c r="F60" s="717">
        <f t="shared" ref="F60:F66" si="0">F32</f>
        <v>5.5000000000000007E-2</v>
      </c>
      <c r="I60" s="2548" t="s">
        <v>2442</v>
      </c>
      <c r="J60" s="2552" t="str">
        <f ca="1">IF(OR(M47="住宅",J51&lt;L48,J56="是"),"0",ROUND(J59/(1+J52)^J53,0))</f>
        <v>0</v>
      </c>
      <c r="K60" s="2554" t="s">
        <v>2445</v>
      </c>
      <c r="L60" s="2552">
        <f ca="1">IF(OR(M47="住宅",L48&lt;J51),0,ROUND(L57*(L58/L59-1),0))</f>
        <v>0</v>
      </c>
      <c r="O60" s="2591" t="s">
        <v>2467</v>
      </c>
      <c r="P60" s="2599" t="s">
        <v>2497</v>
      </c>
      <c r="Q60" s="2590">
        <f ca="1">L58</f>
        <v>0</v>
      </c>
      <c r="R60" s="2590" t="s">
        <v>2472</v>
      </c>
    </row>
    <row r="61" spans="1:18" s="1455" customFormat="1" ht="20.25" thickBot="1">
      <c r="A61" s="2440" t="s">
        <v>2384</v>
      </c>
      <c r="B61" s="2404" t="s">
        <v>2357</v>
      </c>
      <c r="C61" s="313">
        <f ca="1">IF(项目基本情况!B11="自然人","——",IF(D61="按租金收入计税",ROUND(C48*F61,2),IF(D61="按房产原值计税",ROUND(C57*F61*0.7,2),INDIRECT("'数据-取费表'!Aj"&amp;$G$1))))</f>
        <v>46.99</v>
      </c>
      <c r="D61" s="1301" t="s">
        <v>2427</v>
      </c>
      <c r="E61" s="2404" t="s">
        <v>2356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2358</v>
      </c>
      <c r="C62" s="314">
        <f ca="1">IF(项目基本情况!B11="自然人","——",ROUND(F62*F63/10000,2))</f>
        <v>15.67</v>
      </c>
      <c r="D62" s="2423" t="s">
        <v>2359</v>
      </c>
      <c r="E62" s="2404" t="s">
        <v>2360</v>
      </c>
      <c r="F62" s="711">
        <f t="shared" si="0"/>
        <v>3</v>
      </c>
      <c r="I62" s="2549" t="s">
        <v>2432</v>
      </c>
      <c r="J62" s="2550" t="s">
        <v>2433</v>
      </c>
      <c r="K62" s="2550" t="s">
        <v>2434</v>
      </c>
      <c r="L62" s="2550" t="s">
        <v>2430</v>
      </c>
      <c r="M62" s="3326" t="s">
        <v>3053</v>
      </c>
      <c r="O62" s="2589" t="s">
        <v>2469</v>
      </c>
      <c r="P62" s="2599" t="s">
        <v>2487</v>
      </c>
      <c r="Q62" s="2590">
        <f ca="1">Q56+Q57</f>
        <v>5818</v>
      </c>
      <c r="R62" s="2590" t="s">
        <v>2470</v>
      </c>
    </row>
    <row r="63" spans="1:18" s="1455" customFormat="1" ht="16.5" thickBot="1">
      <c r="A63" s="712"/>
      <c r="B63" s="2410"/>
      <c r="C63" s="318"/>
      <c r="D63" s="2424"/>
      <c r="E63" s="2404" t="s">
        <v>2361</v>
      </c>
      <c r="F63" s="685">
        <f t="shared" ca="1" si="0"/>
        <v>52242.5</v>
      </c>
      <c r="I63" s="2549" t="s">
        <v>2446</v>
      </c>
      <c r="J63" s="3329">
        <v>70</v>
      </c>
      <c r="K63" s="3329">
        <v>50</v>
      </c>
      <c r="L63" s="3329">
        <v>80</v>
      </c>
      <c r="M63" s="3327">
        <v>0.02</v>
      </c>
      <c r="O63" s="2593" t="s">
        <v>2501</v>
      </c>
      <c r="P63" s="1296"/>
      <c r="Q63" s="1296"/>
      <c r="R63" s="1296"/>
    </row>
    <row r="64" spans="1:18" s="1455" customFormat="1" ht="15.75" thickBot="1">
      <c r="A64" s="2440" t="s">
        <v>2393</v>
      </c>
      <c r="B64" s="2404" t="s">
        <v>2362</v>
      </c>
      <c r="C64" s="313">
        <f ca="1">ROUND(C57*F64,1)</f>
        <v>83.9</v>
      </c>
      <c r="D64" s="2422" t="s">
        <v>2363</v>
      </c>
      <c r="E64" s="2404" t="s">
        <v>2356</v>
      </c>
      <c r="F64" s="714">
        <f t="shared" ca="1" si="0"/>
        <v>1.4999999999999999E-2</v>
      </c>
      <c r="I64" s="2549" t="s">
        <v>2447</v>
      </c>
      <c r="J64" s="3329">
        <v>50</v>
      </c>
      <c r="K64" s="3329">
        <v>35</v>
      </c>
      <c r="L64" s="3329">
        <v>60</v>
      </c>
      <c r="M64" s="3328">
        <v>0</v>
      </c>
      <c r="O64" s="2596" t="s">
        <v>2478</v>
      </c>
      <c r="P64" s="2597" t="s">
        <v>2479</v>
      </c>
      <c r="Q64" s="2598" t="s">
        <v>2477</v>
      </c>
      <c r="R64" s="2598" t="s">
        <v>2480</v>
      </c>
    </row>
    <row r="65" spans="1:18" s="1455" customFormat="1" ht="15.75" thickBot="1">
      <c r="A65" s="2440" t="s">
        <v>2387</v>
      </c>
      <c r="B65" s="2404" t="s">
        <v>369</v>
      </c>
      <c r="C65" s="313">
        <f ca="1">ROUND(C56*F65,1)</f>
        <v>6.4</v>
      </c>
      <c r="D65" s="2422" t="s">
        <v>2364</v>
      </c>
      <c r="E65" s="2404" t="s">
        <v>2356</v>
      </c>
      <c r="F65" s="716">
        <f t="shared" ca="1" si="0"/>
        <v>1.5E-3</v>
      </c>
      <c r="I65" s="2549" t="s">
        <v>2448</v>
      </c>
      <c r="J65" s="3329">
        <v>40</v>
      </c>
      <c r="K65" s="3329">
        <v>30</v>
      </c>
      <c r="L65" s="3329">
        <v>50</v>
      </c>
      <c r="M65" s="3327">
        <v>0.02</v>
      </c>
      <c r="O65" s="2589" t="s">
        <v>2463</v>
      </c>
      <c r="P65" s="2599" t="s">
        <v>2481</v>
      </c>
      <c r="Q65" s="2590">
        <f ca="1">C40+J29</f>
        <v>5818</v>
      </c>
      <c r="R65" s="2590" t="s">
        <v>2482</v>
      </c>
    </row>
    <row r="66" spans="1:18" s="1455" customFormat="1" ht="20.25" thickBot="1">
      <c r="A66" s="2440" t="s">
        <v>2388</v>
      </c>
      <c r="B66" s="2404" t="s">
        <v>368</v>
      </c>
      <c r="C66" s="313">
        <f ca="1">ROUND(C48*F66,1)</f>
        <v>0</v>
      </c>
      <c r="D66" s="2422" t="s">
        <v>2365</v>
      </c>
      <c r="E66" s="2404" t="s">
        <v>2356</v>
      </c>
      <c r="F66" s="694">
        <f t="shared" ca="1" si="0"/>
        <v>0.01</v>
      </c>
      <c r="O66" s="2589" t="s">
        <v>2464</v>
      </c>
      <c r="P66" s="2599" t="s">
        <v>2488</v>
      </c>
      <c r="Q66" s="2590">
        <f ca="1">L60</f>
        <v>0</v>
      </c>
      <c r="R66" s="2590" t="s">
        <v>2471</v>
      </c>
    </row>
    <row r="67" spans="1:18" s="1455" customFormat="1" ht="24.75" thickBot="1">
      <c r="A67" s="2411" t="s">
        <v>2366</v>
      </c>
      <c r="B67" s="2425" t="s">
        <v>2367</v>
      </c>
      <c r="C67" s="698">
        <f ca="1">C48-C58</f>
        <v>-153</v>
      </c>
      <c r="D67" s="2421" t="s">
        <v>2368</v>
      </c>
      <c r="E67" s="2426"/>
      <c r="F67" s="2427"/>
      <c r="O67" s="2591" t="s">
        <v>2465</v>
      </c>
      <c r="P67" s="2599" t="s">
        <v>2495</v>
      </c>
      <c r="Q67" s="2594">
        <f ca="1">L51</f>
        <v>1807</v>
      </c>
      <c r="R67" s="2595" t="s">
        <v>2505</v>
      </c>
    </row>
    <row r="68" spans="1:18" s="1455" customFormat="1" ht="20.25" thickBot="1">
      <c r="A68" s="2401" t="s">
        <v>2369</v>
      </c>
      <c r="B68" s="2402" t="s">
        <v>2370</v>
      </c>
      <c r="C68" s="683">
        <f ca="1">ROUND(C67*(1-((1+F70)/(1+F68))^F69)/(F68-F70),0)</f>
        <v>-2550</v>
      </c>
      <c r="D68" s="2423" t="s">
        <v>2371</v>
      </c>
      <c r="E68" s="2404" t="s">
        <v>2372</v>
      </c>
      <c r="F68" s="694">
        <f ca="1">F40</f>
        <v>0.05</v>
      </c>
      <c r="O68" s="2591" t="s">
        <v>2466</v>
      </c>
      <c r="P68" s="2600" t="s">
        <v>2499</v>
      </c>
      <c r="Q68" s="2590">
        <f ca="1">ROUND(Q69-Q70*Q71,0)</f>
        <v>95</v>
      </c>
      <c r="R68" s="2590" t="s">
        <v>2504</v>
      </c>
    </row>
    <row r="69" spans="1:18" s="1455" customFormat="1" ht="15.75" thickBot="1">
      <c r="A69" s="2405"/>
      <c r="B69" s="2406"/>
      <c r="C69" s="688"/>
      <c r="D69" s="2428" t="s">
        <v>2373</v>
      </c>
      <c r="E69" s="2404" t="s">
        <v>2374</v>
      </c>
      <c r="F69" s="719">
        <f ca="1">F41</f>
        <v>36.72</v>
      </c>
      <c r="O69" s="2591" t="s">
        <v>2474</v>
      </c>
      <c r="P69" s="2600" t="s">
        <v>2489</v>
      </c>
      <c r="Q69" s="2590">
        <f ca="1">C39</f>
        <v>286</v>
      </c>
      <c r="R69" s="2590" t="s">
        <v>2482</v>
      </c>
    </row>
    <row r="70" spans="1:18" s="1455" customFormat="1" ht="15.75" thickBot="1">
      <c r="A70" s="2408"/>
      <c r="B70" s="2409"/>
      <c r="C70" s="692"/>
      <c r="D70" s="2424"/>
      <c r="E70" s="2404" t="s">
        <v>2375</v>
      </c>
      <c r="F70" s="2534"/>
      <c r="O70" s="2591" t="s">
        <v>2475</v>
      </c>
      <c r="P70" s="2600" t="s">
        <v>2490</v>
      </c>
      <c r="Q70" s="2590">
        <f ca="1">C13</f>
        <v>4251</v>
      </c>
      <c r="R70" s="2590" t="s">
        <v>2482</v>
      </c>
    </row>
    <row r="71" spans="1:18" s="1455" customFormat="1" ht="15.75" thickBot="1">
      <c r="A71" s="2429" t="s">
        <v>2376</v>
      </c>
      <c r="B71" s="2430" t="s">
        <v>2377</v>
      </c>
      <c r="C71" s="722">
        <f ca="1">ROUND(C68*10000/F71,0)</f>
        <v>-1270</v>
      </c>
      <c r="D71" s="2431" t="s">
        <v>2378</v>
      </c>
      <c r="E71" s="2432" t="s">
        <v>2379</v>
      </c>
      <c r="F71" s="725">
        <f ca="1">F43</f>
        <v>20083.5</v>
      </c>
      <c r="I71" s="2399"/>
      <c r="K71" s="2399"/>
      <c r="O71" s="2591" t="s">
        <v>2476</v>
      </c>
      <c r="P71" s="2600" t="s">
        <v>2502</v>
      </c>
      <c r="Q71" s="2592">
        <f ca="1">C76</f>
        <v>4.4999999999999998E-2</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191</v>
      </c>
      <c r="D75" s="1455"/>
      <c r="E75" s="1455"/>
      <c r="F75" s="1455"/>
      <c r="K75" s="1456"/>
      <c r="L75" s="1455"/>
      <c r="O75" s="2589" t="s">
        <v>2469</v>
      </c>
      <c r="P75" s="2599" t="s">
        <v>2487</v>
      </c>
      <c r="Q75" s="2590">
        <f ca="1">Q65+Q66</f>
        <v>5818</v>
      </c>
      <c r="R75" s="2590" t="s">
        <v>2470</v>
      </c>
    </row>
    <row r="76" spans="1:18">
      <c r="B76" s="731" t="s">
        <v>979</v>
      </c>
      <c r="C76" s="732">
        <f ca="1">INDIRECT("'数据-取费表'!j"&amp;$G$1)</f>
        <v>4.4999999999999998E-2</v>
      </c>
      <c r="I76" s="1455"/>
      <c r="J76" s="1455"/>
      <c r="K76" s="1456"/>
      <c r="L76" s="1455"/>
    </row>
    <row r="77" spans="1:18">
      <c r="B77" s="733" t="s">
        <v>982</v>
      </c>
      <c r="C77" s="734"/>
      <c r="I77" s="1455"/>
      <c r="J77" s="1455"/>
      <c r="K77" s="1456"/>
      <c r="L77" s="1455"/>
    </row>
    <row r="78" spans="1:18">
      <c r="B78" s="646" t="s">
        <v>2711</v>
      </c>
      <c r="C78" s="735"/>
    </row>
    <row r="79" spans="1:18">
      <c r="B79" s="2878" t="s">
        <v>2715</v>
      </c>
      <c r="C79" s="650">
        <f ca="1">1-C80</f>
        <v>0.33199999999999996</v>
      </c>
    </row>
    <row r="80" spans="1:18">
      <c r="B80" s="2878" t="s">
        <v>2714</v>
      </c>
      <c r="C80" s="650">
        <f ca="1">ROUND(C75/C39,3)</f>
        <v>0.66800000000000004</v>
      </c>
    </row>
    <row r="81" spans="2:3">
      <c r="B81" s="646" t="s">
        <v>388</v>
      </c>
      <c r="C81" s="647"/>
    </row>
    <row r="82" spans="2:3">
      <c r="B82" s="2877" t="s">
        <v>2713</v>
      </c>
      <c r="C82" s="651">
        <f ca="1">1-C83</f>
        <v>0.26900000000000002</v>
      </c>
    </row>
    <row r="83" spans="2:3">
      <c r="B83" s="2877" t="s">
        <v>2712</v>
      </c>
      <c r="C83" s="650">
        <f ca="1">ROUND(C13/C40,3)</f>
        <v>0.73099999999999998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c r="D1" s="1274"/>
      <c r="E1" s="2587" t="s">
        <v>540</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1107</v>
      </c>
      <c r="D2" s="2726" t="e">
        <f ca="1">C40+J29+L46</f>
        <v>#DIV/0!</v>
      </c>
      <c r="E2" s="2577" t="s">
        <v>2635</v>
      </c>
      <c r="F2" s="1277"/>
      <c r="G2" s="2289"/>
      <c r="H2" s="1275"/>
      <c r="I2" s="1275"/>
      <c r="J2" s="1275"/>
      <c r="K2" s="1299"/>
      <c r="L2" s="1275"/>
      <c r="M2" s="1275"/>
    </row>
    <row r="3" spans="1:37" ht="18" customHeight="1" thickBot="1">
      <c r="A3" s="675" t="s">
        <v>347</v>
      </c>
      <c r="B3" s="1408">
        <f ca="1">IF(ISERROR(D2/F43),0,ROUND(D2/F43,0))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28">
        <f ca="1">C6+C10+C12</f>
        <v>0</v>
      </c>
      <c r="D5" s="2638" t="s">
        <v>2549</v>
      </c>
      <c r="E5" s="2629"/>
      <c r="F5" s="2630"/>
      <c r="G5" s="2290"/>
      <c r="H5" s="681">
        <v>1</v>
      </c>
      <c r="I5" s="682" t="s">
        <v>2345</v>
      </c>
      <c r="J5" s="2628">
        <f ca="1">J6+J10+J12</f>
        <v>0</v>
      </c>
      <c r="K5" s="2631" t="s">
        <v>2549</v>
      </c>
      <c r="L5" s="2629"/>
      <c r="M5" s="2630"/>
    </row>
    <row r="6" spans="1:37" ht="18" customHeight="1">
      <c r="A6" s="2624" t="s">
        <v>2386</v>
      </c>
      <c r="B6" s="3579" t="s">
        <v>2548</v>
      </c>
      <c r="C6" s="2633">
        <f ca="1">ROUND(F6*F8*F7*(1-F9),0)</f>
        <v>0</v>
      </c>
      <c r="D6" s="2627" t="s">
        <v>2550</v>
      </c>
      <c r="E6" s="684" t="s">
        <v>920</v>
      </c>
      <c r="F6" s="685">
        <f ca="1">INDIRECT("'数据-取费表'!u"&amp;$G$1)</f>
        <v>0</v>
      </c>
      <c r="G6" s="2290"/>
      <c r="H6" s="2624" t="s">
        <v>2386</v>
      </c>
      <c r="I6" s="3579" t="s">
        <v>2548</v>
      </c>
      <c r="J6" s="683">
        <f ca="1">ROUND(M6*M8*M7*(1-M9),0)</f>
        <v>0</v>
      </c>
      <c r="K6" s="2627" t="s">
        <v>2550</v>
      </c>
      <c r="L6" s="684" t="s">
        <v>920</v>
      </c>
      <c r="M6" s="685">
        <f ca="1">INDIRECT("'数据-取费表'!z"&amp;$G$1)</f>
        <v>0</v>
      </c>
    </row>
    <row r="7" spans="1:37" ht="18" customHeight="1">
      <c r="A7" s="2632"/>
      <c r="B7" s="3580"/>
      <c r="C7" s="2634"/>
      <c r="D7" s="2063"/>
      <c r="E7" s="2635" t="s">
        <v>921</v>
      </c>
      <c r="F7" s="685">
        <f ca="1">IF(INDIRECT("'数据-取费表'!ah"&amp;$G$1)="",INDIRECT("'数据-取费表'!k"&amp;$G$1),INDIRECT("'数据-取费表'!ah"&amp;$G$1))</f>
        <v>0</v>
      </c>
      <c r="G7" s="2290"/>
      <c r="H7" s="686"/>
      <c r="I7" s="3580"/>
      <c r="J7" s="688"/>
      <c r="K7" s="689"/>
      <c r="L7" s="684" t="s">
        <v>921</v>
      </c>
      <c r="M7" s="685">
        <f ca="1">F7</f>
        <v>0</v>
      </c>
    </row>
    <row r="8" spans="1:37" ht="18" customHeight="1">
      <c r="A8" s="686"/>
      <c r="B8" s="3580"/>
      <c r="C8" s="688"/>
      <c r="D8" s="689"/>
      <c r="E8" s="684" t="s">
        <v>922</v>
      </c>
      <c r="F8" s="685">
        <f ca="1">INDIRECT("'数据-取费表'!ai"&amp;$G$1)</f>
        <v>0</v>
      </c>
      <c r="G8" s="2290"/>
      <c r="H8" s="686"/>
      <c r="I8" s="3580"/>
      <c r="J8" s="688"/>
      <c r="K8" s="689"/>
      <c r="L8" s="684" t="s">
        <v>922</v>
      </c>
      <c r="M8" s="685">
        <f ca="1">INDIRECT("'数据-取费表'!ai"&amp;$G$1)</f>
        <v>0</v>
      </c>
    </row>
    <row r="9" spans="1:37" ht="18" customHeight="1">
      <c r="A9" s="686"/>
      <c r="B9" s="3581"/>
      <c r="C9" s="688"/>
      <c r="D9" s="689"/>
      <c r="E9" s="684" t="s">
        <v>923</v>
      </c>
      <c r="F9" s="694">
        <f ca="1">INDIRECT("'数据-取费表'!w"&amp;$G$1)</f>
        <v>0</v>
      </c>
      <c r="G9" s="2290"/>
      <c r="H9" s="686"/>
      <c r="I9" s="3581"/>
      <c r="J9" s="688"/>
      <c r="K9" s="689"/>
      <c r="L9" s="695" t="s">
        <v>923</v>
      </c>
      <c r="M9" s="696">
        <f ca="1">INDIRECT("'数据-取费表'!ab"&amp;$G$1)</f>
        <v>0</v>
      </c>
    </row>
    <row r="10" spans="1:37" ht="18" customHeight="1">
      <c r="A10" s="2624" t="s">
        <v>2393</v>
      </c>
      <c r="B10" s="2625" t="s">
        <v>2543</v>
      </c>
      <c r="C10" s="698">
        <f ca="1">ROUND(IF(F10="押一",F6*F8*F7/12*F11,IF(F10="押二",F6*F8*F7/12*2*F11,IF(F10="押三",F6*F8*F7/12*3*F11,C11*F11))),0)</f>
        <v>0</v>
      </c>
      <c r="D10" s="2636" t="s">
        <v>2551</v>
      </c>
      <c r="E10" s="2099" t="s">
        <v>2545</v>
      </c>
      <c r="F10" s="2833"/>
      <c r="G10" s="2290"/>
      <c r="H10" s="2624" t="s">
        <v>2393</v>
      </c>
      <c r="I10" s="2625" t="s">
        <v>2543</v>
      </c>
      <c r="J10" s="683">
        <f ca="1">ROUND(IF(M10="押一",M6*M8*M7/12*M11,IF(M10="押二",M6*M8*M7/12*2*M11,IF(M10="押三",M6*M8*M7/12*3*M11,J11*M11))),0)</f>
        <v>0</v>
      </c>
      <c r="K10" s="2636" t="s">
        <v>2551</v>
      </c>
      <c r="L10" s="2099" t="s">
        <v>2545</v>
      </c>
      <c r="M10" s="2833" t="s">
        <v>2707</v>
      </c>
    </row>
    <row r="11" spans="1:37" ht="18" customHeight="1">
      <c r="A11" s="690"/>
      <c r="B11" s="2626" t="s">
        <v>2553</v>
      </c>
      <c r="C11" s="2417"/>
      <c r="D11" s="689"/>
      <c r="E11" s="2099" t="s">
        <v>2546</v>
      </c>
      <c r="F11" s="696">
        <f ca="1">'数据-取费表'!B39</f>
        <v>1.4999999999999999E-2</v>
      </c>
      <c r="G11" s="2290"/>
      <c r="H11" s="2637"/>
      <c r="I11" s="2626" t="s">
        <v>2708</v>
      </c>
      <c r="J11" s="2417"/>
      <c r="K11" s="1281"/>
      <c r="L11" s="2099" t="s">
        <v>2546</v>
      </c>
      <c r="M11" s="2098">
        <f ca="1">'数据-取费表'!B39</f>
        <v>1.4999999999999999E-2</v>
      </c>
    </row>
    <row r="12" spans="1:37" ht="18" customHeight="1" thickBot="1">
      <c r="A12" s="2672" t="s">
        <v>2556</v>
      </c>
      <c r="B12" s="2673" t="s">
        <v>2544</v>
      </c>
      <c r="C12" s="2674"/>
      <c r="D12" s="2675"/>
      <c r="E12" s="2676"/>
      <c r="F12" s="2677"/>
      <c r="G12" s="2290"/>
      <c r="H12" s="2672" t="s">
        <v>2556</v>
      </c>
      <c r="I12" s="2673" t="s">
        <v>2544</v>
      </c>
      <c r="J12" s="2674"/>
      <c r="K12" s="2691"/>
      <c r="L12" s="2676"/>
      <c r="M12" s="2692"/>
    </row>
    <row r="13" spans="1:37" ht="18" customHeight="1" thickTop="1">
      <c r="A13" s="2668">
        <v>2</v>
      </c>
      <c r="B13" s="2669" t="s">
        <v>924</v>
      </c>
      <c r="C13" s="692">
        <f ca="1">ROUND(C29*F13,0)</f>
        <v>0</v>
      </c>
      <c r="D13" s="2670" t="s">
        <v>925</v>
      </c>
      <c r="E13" s="2670" t="s">
        <v>926</v>
      </c>
      <c r="F13" s="2671">
        <f ca="1">INDIRECT("'数据-取费表'!y"&amp;$G$1)</f>
        <v>0</v>
      </c>
      <c r="G13" s="2290"/>
      <c r="H13" s="2668">
        <v>2</v>
      </c>
      <c r="I13" s="2669" t="s">
        <v>924</v>
      </c>
      <c r="J13" s="2623">
        <f ca="1">ROUND(J14*J15,0)</f>
        <v>0</v>
      </c>
      <c r="K13" s="2678" t="s">
        <v>925</v>
      </c>
      <c r="L13" s="2689"/>
      <c r="M13" s="2690"/>
    </row>
    <row r="14" spans="1:37" ht="18" customHeight="1">
      <c r="A14" s="2440" t="s">
        <v>2383</v>
      </c>
      <c r="B14" s="684" t="s">
        <v>360</v>
      </c>
      <c r="C14" s="702">
        <f ca="1">ROUND(INDIRECT("'数据-取费表'!l"&amp;$G$1)*F43+'数据-取费表'!L14*INDIRECT("'数据-取费表'!S"&amp;$G$1),0)</f>
        <v>0</v>
      </c>
      <c r="D14" s="2721" t="s">
        <v>927</v>
      </c>
      <c r="E14" s="2720"/>
      <c r="F14" s="703"/>
      <c r="G14" s="2290"/>
      <c r="H14" s="2440" t="s">
        <v>2386</v>
      </c>
      <c r="I14" s="684" t="s">
        <v>928</v>
      </c>
      <c r="J14" s="313">
        <f ca="1">C29</f>
        <v>0</v>
      </c>
      <c r="K14" s="303"/>
      <c r="L14" s="700"/>
      <c r="M14" s="701"/>
    </row>
    <row r="15" spans="1:37" s="706" customFormat="1" ht="18" customHeight="1" thickBot="1">
      <c r="A15" s="2440" t="s">
        <v>2620</v>
      </c>
      <c r="B15" s="684" t="s">
        <v>361</v>
      </c>
      <c r="C15" s="313">
        <f ca="1">ROUND(C14*F15,0)</f>
        <v>0</v>
      </c>
      <c r="D15" s="704" t="s">
        <v>929</v>
      </c>
      <c r="E15" s="704" t="s">
        <v>366</v>
      </c>
      <c r="F15" s="705">
        <f>'数据-取费表'!B33</f>
        <v>0.03</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2621</v>
      </c>
      <c r="B16" s="684" t="s">
        <v>362</v>
      </c>
      <c r="C16" s="313">
        <f ca="1">ROUND(INDIRECT("'数据-取费表'!l"&amp;$G$1)*F43*F16,0)</f>
        <v>0</v>
      </c>
      <c r="D16" s="684" t="s">
        <v>929</v>
      </c>
      <c r="E16" s="684" t="s">
        <v>366</v>
      </c>
      <c r="F16" s="707">
        <f ca="1">IF(INDIRECT("'数据-取费表'!c"&amp;$G$1)="住宅",'数据-取费表'!B34,0)</f>
        <v>0</v>
      </c>
      <c r="G16" s="2290"/>
      <c r="H16" s="2668" t="s">
        <v>2351</v>
      </c>
      <c r="I16" s="2669" t="s">
        <v>931</v>
      </c>
      <c r="J16" s="692">
        <f ca="1">ROUND(J17+J22+J23+J24,0)</f>
        <v>0</v>
      </c>
      <c r="K16" s="2678" t="s">
        <v>932</v>
      </c>
      <c r="L16" s="2679"/>
      <c r="M16" s="2630"/>
    </row>
    <row r="17" spans="1:37" s="706" customFormat="1" ht="18" customHeight="1">
      <c r="A17" s="2440" t="s">
        <v>2622</v>
      </c>
      <c r="B17" s="684" t="s">
        <v>363</v>
      </c>
      <c r="C17" s="313">
        <f ca="1">ROUND(F17*(F43+INDIRECT("'数据-取费表'!S"&amp;$G$1)),0)</f>
        <v>0</v>
      </c>
      <c r="D17" s="684" t="s">
        <v>933</v>
      </c>
      <c r="E17" s="684" t="s">
        <v>934</v>
      </c>
      <c r="F17" s="315">
        <f>'数据-取费表'!B35</f>
        <v>200</v>
      </c>
      <c r="G17" s="2291"/>
      <c r="H17" s="2440" t="s">
        <v>2386</v>
      </c>
      <c r="I17" s="684" t="s">
        <v>364</v>
      </c>
      <c r="J17" s="313">
        <f ca="1">ROUND(IF(项目基本情况!B11="自然人",J5*M17,J18+J19+J20),0)</f>
        <v>0</v>
      </c>
      <c r="K17" s="2721" t="s">
        <v>935</v>
      </c>
      <c r="L17" s="2722" t="s">
        <v>936</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2623</v>
      </c>
      <c r="B18" s="684" t="s">
        <v>365</v>
      </c>
      <c r="C18" s="313">
        <f ca="1">ROUND(C14*F18,0)</f>
        <v>0</v>
      </c>
      <c r="D18" s="684" t="s">
        <v>929</v>
      </c>
      <c r="E18" s="684" t="s">
        <v>366</v>
      </c>
      <c r="F18" s="707">
        <f>'数据-取费表'!B36</f>
        <v>1.4999999999999999E-2</v>
      </c>
      <c r="G18" s="2291"/>
      <c r="H18" s="2440" t="s">
        <v>2383</v>
      </c>
      <c r="I18" s="684" t="s">
        <v>937</v>
      </c>
      <c r="J18" s="313">
        <f ca="1">ROUND(J5*M18/(1+'数据-取费表'!C42),0)</f>
        <v>0</v>
      </c>
      <c r="K18" s="2722" t="s">
        <v>938</v>
      </c>
      <c r="L18" s="684" t="s">
        <v>366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f ca="1">SUM(C14:C18)</f>
        <v>0</v>
      </c>
      <c r="D19" s="471" t="s">
        <v>939</v>
      </c>
      <c r="E19" s="2724"/>
      <c r="F19" s="315"/>
      <c r="G19" s="2290"/>
      <c r="H19" s="2440" t="s">
        <v>2620</v>
      </c>
      <c r="I19" s="684" t="s">
        <v>940</v>
      </c>
      <c r="J19" s="313">
        <f ca="1">IF(K19="按租金收入计税",ROUND(J5*M19,0),ROUND(C29*M19*0.7,0))</f>
        <v>0</v>
      </c>
      <c r="K19" s="1301" t="s">
        <v>2427</v>
      </c>
      <c r="L19" s="684" t="s">
        <v>366</v>
      </c>
      <c r="M19" s="707">
        <f>IF(K19="按租金收入计税",'数据-取费表'!B51,'数据-取费表'!B50)</f>
        <v>1.2E-2</v>
      </c>
    </row>
    <row r="20" spans="1:37" s="706" customFormat="1" ht="18" customHeight="1">
      <c r="A20" s="2440" t="s">
        <v>2624</v>
      </c>
      <c r="B20" s="684" t="s">
        <v>368</v>
      </c>
      <c r="C20" s="313">
        <f ca="1">ROUND(C19*F20,0)</f>
        <v>0</v>
      </c>
      <c r="D20" s="709" t="s">
        <v>941</v>
      </c>
      <c r="E20" s="684" t="s">
        <v>366</v>
      </c>
      <c r="F20" s="707">
        <f>'数据-取费表'!B37</f>
        <v>1.4999999999999999E-2</v>
      </c>
      <c r="G20" s="2291"/>
      <c r="H20" s="2440" t="s">
        <v>2621</v>
      </c>
      <c r="I20" s="496" t="s">
        <v>942</v>
      </c>
      <c r="J20" s="314">
        <f ca="1">ROUND(M20*M21,0)</f>
        <v>0</v>
      </c>
      <c r="K20" s="710" t="s">
        <v>943</v>
      </c>
      <c r="L20" s="684" t="s">
        <v>944</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2625</v>
      </c>
      <c r="B21" s="684" t="s">
        <v>945</v>
      </c>
      <c r="C21" s="313" t="s">
        <v>23</v>
      </c>
      <c r="D21" s="709" t="s">
        <v>946</v>
      </c>
      <c r="E21" s="684" t="s">
        <v>947</v>
      </c>
      <c r="F21" s="707">
        <f>'数据-取费表'!B38</f>
        <v>0.01</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2626</v>
      </c>
      <c r="B22" s="684" t="s">
        <v>949</v>
      </c>
      <c r="C22" s="313"/>
      <c r="D22" s="2703" t="str">
        <f>IF(F23&lt;=1,"单利计息。","复利计息。")&amp;"建造成本、管理费用、销售费用产生的利息。"</f>
        <v>单利计息。建造成本、管理费用、销售费用产生的利息。</v>
      </c>
      <c r="E22" s="2724"/>
      <c r="F22" s="315"/>
      <c r="G22" s="2290"/>
      <c r="H22" s="2440" t="s">
        <v>2393</v>
      </c>
      <c r="I22" s="684" t="s">
        <v>950</v>
      </c>
      <c r="J22" s="313">
        <f ca="1">ROUND(J14*M22,0)</f>
        <v>0</v>
      </c>
      <c r="K22" s="2722" t="s">
        <v>951</v>
      </c>
      <c r="L22" s="684" t="s">
        <v>366</v>
      </c>
      <c r="M22" s="714">
        <f ca="1">INDIRECT("'数据-取费表'!Ak"&amp;$G$1)</f>
        <v>0</v>
      </c>
    </row>
    <row r="23" spans="1:37" s="706" customFormat="1" ht="18" customHeight="1">
      <c r="A23" s="2440" t="s">
        <v>2383</v>
      </c>
      <c r="B23" s="684" t="s">
        <v>2540</v>
      </c>
      <c r="C23" s="313">
        <f ca="1">IF('数据-取费表'!B22&lt;=1,ROUND(C19*F24*F23/2,0)+ROUND(C20*F24*F23/2,0),ROUND(C19*(POWER((1+F24),F23/2)-1),0)+ROUND(C20*(POWER((1+F24),F23/2)-1),0))</f>
        <v>0</v>
      </c>
      <c r="D23" s="2707" t="str">
        <f>IF(F23&lt;=1,"(建造成本+管理费用)×利率×(建设周期÷2)","(建造成本+管理费用)×((1+利率)^(建设周期÷2)-1)")</f>
        <v>(建造成本+管理费用)×利率×(建设周期÷2)</v>
      </c>
      <c r="E23" s="684" t="s">
        <v>952</v>
      </c>
      <c r="F23" s="711">
        <f>'数据-取费表'!B20</f>
        <v>1</v>
      </c>
      <c r="G23" s="2291"/>
      <c r="H23" s="2440" t="s">
        <v>2625</v>
      </c>
      <c r="I23" s="684" t="s">
        <v>369</v>
      </c>
      <c r="J23" s="313">
        <f ca="1">ROUND(J13*M23,0)</f>
        <v>0</v>
      </c>
      <c r="K23" s="272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2.0000000000000001E-4</v>
      </c>
      <c r="D24" s="2707" t="str">
        <f>IF(F23&lt;=1,"销售费用×利率×(建设周期÷2)","销售费用×((1+利率)^(建设周期÷2)-1)")</f>
        <v>销售费用×利率×(建设周期÷2)</v>
      </c>
      <c r="E24" s="684" t="s">
        <v>955</v>
      </c>
      <c r="F24" s="717">
        <f ca="1">'数据-取费表'!B40</f>
        <v>4.3499999999999997E-2</v>
      </c>
      <c r="G24" s="2291"/>
      <c r="H24" s="2680" t="s">
        <v>2626</v>
      </c>
      <c r="I24" s="2681" t="s">
        <v>368</v>
      </c>
      <c r="J24" s="2682">
        <f ca="1">ROUND(J5*M24,0)</f>
        <v>0</v>
      </c>
      <c r="K24" s="2683" t="s">
        <v>372</v>
      </c>
      <c r="L24" s="2681" t="s">
        <v>366</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724"/>
      <c r="F25" s="315"/>
      <c r="G25" s="2290"/>
      <c r="H25" s="2668" t="s">
        <v>2366</v>
      </c>
      <c r="I25" s="2685" t="s">
        <v>378</v>
      </c>
      <c r="J25" s="692">
        <f ca="1">J5-J16</f>
        <v>0</v>
      </c>
      <c r="K25" s="2686" t="s">
        <v>379</v>
      </c>
      <c r="L25" s="2687"/>
      <c r="M25" s="2688"/>
    </row>
    <row r="26" spans="1:37" ht="18" customHeight="1">
      <c r="A26" s="2440" t="s">
        <v>2383</v>
      </c>
      <c r="B26" s="684" t="s">
        <v>2541</v>
      </c>
      <c r="C26" s="313">
        <f ca="1">ROUND((C19+C20)*F26,0)</f>
        <v>0</v>
      </c>
      <c r="D26" s="709" t="s">
        <v>960</v>
      </c>
      <c r="E26" s="695" t="s">
        <v>961</v>
      </c>
      <c r="F26" s="694">
        <f ca="1">INDIRECT("'数据-取费表'!q"&amp;$G$1)</f>
        <v>0</v>
      </c>
      <c r="G26" s="2290"/>
      <c r="H26" s="681" t="s">
        <v>2369</v>
      </c>
      <c r="I26" s="682" t="s">
        <v>962</v>
      </c>
      <c r="J26" s="683">
        <f ca="1">IF(J5&lt;&gt;0,ROUND(J25*(1-((1+M28)/(1+M26))^M27)/(M26-M28),0),0)</f>
        <v>0</v>
      </c>
      <c r="K26" s="710" t="s">
        <v>374</v>
      </c>
      <c r="L26" s="684" t="s">
        <v>375</v>
      </c>
      <c r="M26" s="694">
        <f ca="1">INDIRECT("'数据-取费表'!I"&amp;$G$1)</f>
        <v>0</v>
      </c>
    </row>
    <row r="27" spans="1:37" ht="18" customHeight="1">
      <c r="A27" s="2440" t="s">
        <v>2389</v>
      </c>
      <c r="B27" s="684" t="s">
        <v>376</v>
      </c>
      <c r="C27" s="313">
        <f ca="1">ROUND(F21*F26,4)</f>
        <v>0</v>
      </c>
      <c r="D27" s="709" t="s">
        <v>964</v>
      </c>
      <c r="E27" s="704"/>
      <c r="F27" s="705"/>
      <c r="G27" s="2290"/>
      <c r="H27" s="686"/>
      <c r="I27" s="687"/>
      <c r="J27" s="688"/>
      <c r="K27" s="718" t="s">
        <v>965</v>
      </c>
      <c r="L27" s="684" t="s">
        <v>382</v>
      </c>
      <c r="M27" s="719">
        <f ca="1">INDIRECT("'数据-取费表'!ag"&amp;$G$1)</f>
        <v>0</v>
      </c>
    </row>
    <row r="28" spans="1:37" s="706" customFormat="1" ht="18" customHeight="1">
      <c r="A28" s="2440" t="s">
        <v>2391</v>
      </c>
      <c r="B28" s="684" t="s">
        <v>377</v>
      </c>
      <c r="C28" s="313">
        <f>ROUND(F28/(1+'数据-取费表'!C42),4)</f>
        <v>5.2400000000000002E-2</v>
      </c>
      <c r="D28" s="709" t="s">
        <v>971</v>
      </c>
      <c r="E28" s="684" t="s">
        <v>366</v>
      </c>
      <c r="F28" s="707">
        <f>'数据-取费表'!B41</f>
        <v>5.5000000000000007E-2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0</v>
      </c>
      <c r="D29" s="2683"/>
      <c r="E29" s="2681"/>
      <c r="F29" s="2684"/>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0</v>
      </c>
      <c r="D30" s="2678" t="s">
        <v>932</v>
      </c>
      <c r="E30" s="2679"/>
      <c r="F30" s="2630"/>
      <c r="G30" s="2290"/>
      <c r="H30" s="1278"/>
      <c r="I30" s="1279"/>
      <c r="J30" s="1280"/>
      <c r="K30" s="1281"/>
      <c r="L30" s="1282"/>
      <c r="M30" s="1283"/>
    </row>
    <row r="31" spans="1:37" ht="18" customHeight="1">
      <c r="A31" s="2440" t="s">
        <v>2386</v>
      </c>
      <c r="B31" s="684" t="s">
        <v>364</v>
      </c>
      <c r="C31" s="313">
        <f ca="1">ROUND(IF(项目基本情况!B11="自然人",C5*F31,C32+C33+C34),0)</f>
        <v>0</v>
      </c>
      <c r="D31" s="2721" t="s">
        <v>935</v>
      </c>
      <c r="E31" s="2722" t="s">
        <v>974</v>
      </c>
      <c r="F31" s="708">
        <f ca="1">IF(项目基本情况!B11="企业","",IF(INDIRECT("'数据-取费表'!c"&amp;$G$1)="住宅",5%,IF(F6*F7*F8/12/(1+'数据-取费表'!C42)&gt;20000,12%,7%)))</f>
        <v>7.0000000000000007E-2</v>
      </c>
      <c r="G31" s="2290"/>
      <c r="H31" s="1278"/>
      <c r="I31" s="1279"/>
      <c r="J31" s="1280"/>
      <c r="K31" s="1281"/>
      <c r="L31" s="1282"/>
      <c r="M31" s="1283"/>
    </row>
    <row r="32" spans="1:37" ht="18" customHeight="1">
      <c r="A32" s="2440" t="s">
        <v>2383</v>
      </c>
      <c r="B32" s="684" t="s">
        <v>937</v>
      </c>
      <c r="C32" s="313">
        <f ca="1">IF(项目基本情况!B11="自然人","——",ROUND(C5*F32/(1+'数据-取费表'!C42),0))</f>
        <v>0</v>
      </c>
      <c r="D32" s="2722" t="s">
        <v>938</v>
      </c>
      <c r="E32" s="684" t="s">
        <v>366</v>
      </c>
      <c r="F32" s="717">
        <f>'数据-取费表'!B41</f>
        <v>5.5000000000000007E-2</v>
      </c>
      <c r="G32" s="2290"/>
      <c r="H32" s="1284"/>
      <c r="I32" s="1285"/>
      <c r="J32" s="1286"/>
      <c r="K32" s="1287"/>
      <c r="L32" s="1288"/>
      <c r="M32" s="1289"/>
    </row>
    <row r="33" spans="1:18" ht="18" customHeight="1">
      <c r="A33" s="2440" t="s">
        <v>2620</v>
      </c>
      <c r="B33" s="684" t="s">
        <v>940</v>
      </c>
      <c r="C33" s="313">
        <f ca="1">IF(项目基本情况!B11="自然人","——",IF(D33="按租金收入计税",ROUND(C5*F33,0),IF(D33="按房产原值计税",ROUND(C29*F33*0.7,0),INDIRECT("'数据-取费表'!Aj"&amp;$G$1))))</f>
        <v>0</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2621</v>
      </c>
      <c r="B34" s="496" t="s">
        <v>942</v>
      </c>
      <c r="C34" s="314">
        <f ca="1">IF(项目基本情况!B11="自然人","——",ROUND(F34*F35,))</f>
        <v>0</v>
      </c>
      <c r="D34" s="710" t="s">
        <v>943</v>
      </c>
      <c r="E34" s="684" t="s">
        <v>944</v>
      </c>
      <c r="F34" s="711">
        <f>'数据-取费表'!B52</f>
        <v>3</v>
      </c>
      <c r="G34" s="2290"/>
      <c r="H34" s="1278"/>
      <c r="I34" s="2886"/>
      <c r="J34" s="2887"/>
      <c r="K34" s="1292"/>
      <c r="L34" s="1293"/>
      <c r="M34" s="1293"/>
    </row>
    <row r="35" spans="1:18" ht="18" customHeight="1">
      <c r="A35" s="2698"/>
      <c r="B35" s="2696"/>
      <c r="C35" s="318"/>
      <c r="D35" s="713"/>
      <c r="E35" s="684" t="s">
        <v>948</v>
      </c>
      <c r="F35" s="685">
        <f ca="1">INDIRECT("'数据-取费表'!r"&amp;$G$1)</f>
        <v>0</v>
      </c>
      <c r="G35" s="2290"/>
      <c r="H35" s="1278"/>
      <c r="I35" s="2886"/>
      <c r="J35" s="2887"/>
      <c r="K35" s="1291"/>
      <c r="L35" s="1290"/>
      <c r="M35" s="1290"/>
    </row>
    <row r="36" spans="1:18" ht="18" customHeight="1">
      <c r="A36" s="2697" t="s">
        <v>2393</v>
      </c>
      <c r="B36" s="684" t="s">
        <v>950</v>
      </c>
      <c r="C36" s="313">
        <f ca="1">ROUND(C29*F36,0)</f>
        <v>0</v>
      </c>
      <c r="D36" s="2722" t="s">
        <v>980</v>
      </c>
      <c r="E36" s="684" t="s">
        <v>366</v>
      </c>
      <c r="F36" s="714">
        <f ca="1">INDIRECT("'数据-取费表'!Ak"&amp;$G$1)</f>
        <v>0</v>
      </c>
      <c r="G36" s="2290"/>
      <c r="H36" s="1290"/>
      <c r="I36" s="2886"/>
      <c r="J36" s="2887"/>
      <c r="K36" s="1294"/>
      <c r="L36" s="1290"/>
      <c r="M36" s="1290"/>
    </row>
    <row r="37" spans="1:18" ht="18" customHeight="1">
      <c r="A37" s="2440" t="s">
        <v>2625</v>
      </c>
      <c r="B37" s="684" t="s">
        <v>369</v>
      </c>
      <c r="C37" s="313">
        <f ca="1">ROUND(C13*F37,0)</f>
        <v>0</v>
      </c>
      <c r="D37" s="2722" t="s">
        <v>370</v>
      </c>
      <c r="E37" s="684" t="s">
        <v>366</v>
      </c>
      <c r="F37" s="716">
        <f ca="1">INDIRECT("'数据-取费表'!Al"&amp;$G$1)</f>
        <v>0</v>
      </c>
      <c r="G37" s="2290"/>
      <c r="H37" s="1290"/>
      <c r="I37" s="2886"/>
      <c r="J37" s="2887"/>
      <c r="K37" s="1294"/>
      <c r="L37" s="1290"/>
      <c r="M37" s="1290"/>
    </row>
    <row r="38" spans="1:18" ht="18" customHeight="1" thickBot="1">
      <c r="A38" s="2680" t="s">
        <v>2626</v>
      </c>
      <c r="B38" s="2681" t="s">
        <v>368</v>
      </c>
      <c r="C38" s="2682">
        <f ca="1">ROUND(C5*F38,1)</f>
        <v>0</v>
      </c>
      <c r="D38" s="2683" t="s">
        <v>372</v>
      </c>
      <c r="E38" s="2681" t="s">
        <v>366</v>
      </c>
      <c r="F38" s="2677">
        <f ca="1">INDIRECT("'数据-取费表'!Am"&amp;$G$1)</f>
        <v>0</v>
      </c>
      <c r="G38" s="2290"/>
      <c r="H38" s="1290"/>
      <c r="I38" s="2886"/>
      <c r="J38" s="2887"/>
      <c r="K38" s="1295"/>
      <c r="L38" s="1290"/>
      <c r="M38" s="1290"/>
    </row>
    <row r="39" spans="1:18" ht="24.6" customHeight="1" thickTop="1">
      <c r="A39" s="2668" t="s">
        <v>2366</v>
      </c>
      <c r="B39" s="2685" t="s">
        <v>378</v>
      </c>
      <c r="C39" s="692">
        <f ca="1">C5-C30</f>
        <v>0</v>
      </c>
      <c r="D39" s="2686" t="s">
        <v>379</v>
      </c>
      <c r="E39" s="2687"/>
      <c r="F39" s="2688"/>
      <c r="G39" s="2290"/>
      <c r="H39" s="1290"/>
      <c r="I39" s="2886"/>
      <c r="J39" s="2887"/>
      <c r="K39" s="1295"/>
      <c r="L39" s="1290"/>
      <c r="M39" s="1290"/>
    </row>
    <row r="40" spans="1:18" ht="18" customHeight="1">
      <c r="A40" s="681" t="s">
        <v>2369</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2376</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2636</v>
      </c>
      <c r="E45" s="1433"/>
      <c r="F45" s="1433"/>
      <c r="O45" s="2593" t="s">
        <v>2500</v>
      </c>
      <c r="P45" s="1296"/>
      <c r="Q45" s="1296"/>
      <c r="R45" s="1296"/>
    </row>
    <row r="46" spans="1:18" s="1455" customFormat="1" ht="21" thickBot="1">
      <c r="A46" s="2398" t="s">
        <v>2338</v>
      </c>
      <c r="B46" s="2399"/>
      <c r="C46" s="2727" t="e">
        <f ca="1">ROUND(C45/10000,0)</f>
        <v>#DIV/0!</v>
      </c>
      <c r="D46" s="2728" t="str">
        <f>C2</f>
        <v>万元</v>
      </c>
      <c r="I46" s="2580" t="s">
        <v>2435</v>
      </c>
      <c r="J46" s="2581"/>
      <c r="K46" s="2582"/>
      <c r="L46" s="2584" t="e">
        <f ca="1">IF(M47="住宅",0,IF(L48&gt;J51,L60,J60))</f>
        <v>#DIV/0!</v>
      </c>
      <c r="O46" s="2596" t="s">
        <v>2478</v>
      </c>
      <c r="P46" s="2597" t="s">
        <v>2479</v>
      </c>
      <c r="Q46" s="2598" t="s">
        <v>2477</v>
      </c>
      <c r="R46" s="2598" t="s">
        <v>2480</v>
      </c>
    </row>
    <row r="47" spans="1:18" s="1455" customFormat="1" ht="15.75" thickBot="1">
      <c r="A47" s="2400" t="s">
        <v>915</v>
      </c>
      <c r="B47" s="2436" t="s">
        <v>916</v>
      </c>
      <c r="C47" s="2436" t="s">
        <v>917</v>
      </c>
      <c r="D47" s="2436" t="s">
        <v>918</v>
      </c>
      <c r="E47" s="2539" t="s">
        <v>919</v>
      </c>
      <c r="F47" s="2540"/>
      <c r="G47" s="1457"/>
      <c r="I47" s="2555" t="s">
        <v>2428</v>
      </c>
      <c r="J47" s="2556"/>
      <c r="K47" s="2565" t="s">
        <v>2451</v>
      </c>
      <c r="L47" s="2566">
        <f ca="1">INDIRECT("'数据-取费表'!d"&amp;$G$1)</f>
        <v>0</v>
      </c>
      <c r="M47" s="2586" t="str">
        <f>IF(ISNUMBER(FIND("住宅",C1)),"住宅","非住宅")</f>
        <v>非住宅</v>
      </c>
      <c r="O47" s="2589" t="s">
        <v>2463</v>
      </c>
      <c r="P47" s="2599" t="s">
        <v>2481</v>
      </c>
      <c r="Q47" s="2590" t="e">
        <f ca="1">C40+J29</f>
        <v>#DIV/0!</v>
      </c>
      <c r="R47" s="2590" t="s">
        <v>2482</v>
      </c>
    </row>
    <row r="48" spans="1:18" s="1455" customFormat="1" ht="47.25" thickBot="1">
      <c r="A48" s="2713" t="s">
        <v>2631</v>
      </c>
      <c r="B48" s="682" t="s">
        <v>2345</v>
      </c>
      <c r="C48" s="2723">
        <f ca="1">C49+C53+C55</f>
        <v>0</v>
      </c>
      <c r="D48" s="2717"/>
      <c r="E48" s="2718"/>
      <c r="F48" s="2420"/>
      <c r="G48" s="1457"/>
      <c r="H48" s="1458"/>
      <c r="I48" s="2546" t="s">
        <v>2429</v>
      </c>
      <c r="J48" s="2557"/>
      <c r="K48" s="2567" t="s">
        <v>684</v>
      </c>
      <c r="L48" s="2170">
        <f ca="1">INDIRECT("'数据-取费表'!f"&amp;$G$1)</f>
        <v>0</v>
      </c>
      <c r="O48" s="2589" t="s">
        <v>2464</v>
      </c>
      <c r="P48" s="2599" t="s">
        <v>2483</v>
      </c>
      <c r="Q48" s="2590" t="e">
        <f ca="1">J60</f>
        <v>#DIV/0!</v>
      </c>
      <c r="R48" s="2590" t="s">
        <v>2491</v>
      </c>
    </row>
    <row r="49" spans="1:18" s="1455" customFormat="1" ht="15.75" thickBot="1">
      <c r="A49" s="2433" t="s">
        <v>2632</v>
      </c>
      <c r="B49" s="2716" t="s">
        <v>2634</v>
      </c>
      <c r="C49" s="2725">
        <f ca="1">ROUND(F49*F51*F50*(1-F52),0)</f>
        <v>0</v>
      </c>
      <c r="D49" s="2535" t="s">
        <v>2346</v>
      </c>
      <c r="E49" s="2538" t="s">
        <v>2339</v>
      </c>
      <c r="F49" s="2541"/>
      <c r="G49" s="1459"/>
      <c r="H49" s="1458"/>
      <c r="I49" s="2546" t="s">
        <v>2449</v>
      </c>
      <c r="J49" s="2558"/>
      <c r="K49" s="2568" t="s">
        <v>2454</v>
      </c>
      <c r="L49" s="2569"/>
      <c r="O49" s="2591" t="s">
        <v>2465</v>
      </c>
      <c r="P49" s="2599" t="s">
        <v>2484</v>
      </c>
      <c r="Q49" s="2590">
        <f ca="1">C29</f>
        <v>0</v>
      </c>
      <c r="R49" s="2590" t="s">
        <v>2482</v>
      </c>
    </row>
    <row r="50" spans="1:18" s="1455" customFormat="1" ht="15.75" thickBot="1">
      <c r="A50" s="2434"/>
      <c r="B50" s="2437"/>
      <c r="C50" s="2438"/>
      <c r="D50" s="2407"/>
      <c r="E50" s="2536" t="s">
        <v>921</v>
      </c>
      <c r="F50" s="2537">
        <f ca="1">F7</f>
        <v>0</v>
      </c>
      <c r="H50" s="1458"/>
      <c r="I50" s="2546" t="s">
        <v>2431</v>
      </c>
      <c r="J50" s="2559">
        <f>SUMPRODUCT((I63:I65=J47)*(J62:L62=J48)*(J63:L65))</f>
        <v>0</v>
      </c>
      <c r="K50" s="2568" t="s">
        <v>2455</v>
      </c>
      <c r="L50" s="2569"/>
      <c r="M50" s="2563"/>
      <c r="O50" s="2591" t="s">
        <v>2466</v>
      </c>
      <c r="P50" s="2599" t="s">
        <v>2492</v>
      </c>
      <c r="Q50" s="2592" t="e">
        <f ca="1">J58</f>
        <v>#DIV/0!</v>
      </c>
      <c r="R50" s="2590"/>
    </row>
    <row r="51" spans="1:18" s="1455" customFormat="1" ht="15.75" thickBot="1">
      <c r="A51" s="2435"/>
      <c r="B51" s="2437"/>
      <c r="C51" s="2438"/>
      <c r="D51" s="2407"/>
      <c r="E51" s="2439" t="s">
        <v>922</v>
      </c>
      <c r="F51" s="685">
        <f ca="1">F8</f>
        <v>0</v>
      </c>
      <c r="I51" s="2560" t="s">
        <v>2436</v>
      </c>
      <c r="J51" s="2561">
        <f>IF(J49="",J50,J49+J50-YEAR('数据-取费表'!B2))</f>
        <v>0</v>
      </c>
      <c r="K51" s="2570" t="s">
        <v>2456</v>
      </c>
      <c r="L51" s="2583">
        <f ca="1">ROUND(-PV(INDIRECT("'数据-取费表'!h"&amp;$G$1),L48,(C39-C13*C76),0),0)</f>
        <v>0</v>
      </c>
      <c r="M51" s="2564"/>
      <c r="O51" s="2591" t="s">
        <v>2467</v>
      </c>
      <c r="P51" s="2599" t="s">
        <v>2493</v>
      </c>
      <c r="Q51" s="2592">
        <f>J52</f>
        <v>0</v>
      </c>
      <c r="R51" s="2590"/>
    </row>
    <row r="52" spans="1:18" s="1455" customFormat="1" ht="15.75" thickBot="1">
      <c r="A52" s="2435"/>
      <c r="B52" s="2437"/>
      <c r="C52" s="2438"/>
      <c r="D52" s="2407"/>
      <c r="E52" s="2439" t="s">
        <v>923</v>
      </c>
      <c r="F52" s="2534"/>
      <c r="I52" s="2562" t="s">
        <v>2459</v>
      </c>
      <c r="J52" s="2576"/>
      <c r="K52" s="2562" t="s">
        <v>2444</v>
      </c>
      <c r="L52" s="2576"/>
      <c r="M52" s="2399"/>
      <c r="O52" s="2591" t="s">
        <v>2468</v>
      </c>
      <c r="P52" s="2599" t="s">
        <v>2485</v>
      </c>
      <c r="Q52" s="2590">
        <f ca="1">J53</f>
        <v>0</v>
      </c>
      <c r="R52" s="2590" t="s">
        <v>2486</v>
      </c>
    </row>
    <row r="53" spans="1:18" s="1455" customFormat="1" ht="43.5" thickBot="1">
      <c r="A53" s="2714" t="s">
        <v>2633</v>
      </c>
      <c r="B53" s="2715" t="s">
        <v>2543</v>
      </c>
      <c r="C53" s="698">
        <f ca="1">ROUND(IF(F53="押一",F49*F51*F50/12*F11,IF(F53="押二",F49*F51*F50/12*2*F11,IF(F53="押三",F49*F51*F50/12*3*F11,C54*F11))),0)</f>
        <v>0</v>
      </c>
      <c r="D53" s="2636" t="s">
        <v>2551</v>
      </c>
      <c r="E53" s="2099" t="s">
        <v>2545</v>
      </c>
      <c r="F53" s="2833"/>
      <c r="I53" s="2572" t="s">
        <v>2461</v>
      </c>
      <c r="J53" s="2573">
        <f ca="1">IF(M47="住宅",J51,MIN(J51,L48))</f>
        <v>0</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8"/>
      <c r="O53" s="2589" t="s">
        <v>2469</v>
      </c>
      <c r="P53" s="2599" t="s">
        <v>2487</v>
      </c>
      <c r="Q53" s="2590" t="e">
        <f ca="1">Q47+Q48</f>
        <v>#DIV/0!</v>
      </c>
      <c r="R53" s="2590" t="s">
        <v>2470</v>
      </c>
    </row>
    <row r="54" spans="1:18" s="1455" customFormat="1" ht="16.5" thickBot="1">
      <c r="A54" s="2433"/>
      <c r="B54" s="2830" t="s">
        <v>2708</v>
      </c>
      <c r="C54" s="2417"/>
      <c r="D54" s="2636"/>
      <c r="E54" s="2780"/>
      <c r="F54" s="2542"/>
      <c r="I54" s="2414"/>
      <c r="J54" s="2571"/>
      <c r="K54" s="2571"/>
      <c r="L54" s="2571"/>
      <c r="M54" s="1459"/>
      <c r="O54" s="2593" t="s">
        <v>2494</v>
      </c>
      <c r="P54" s="1296"/>
      <c r="Q54" s="1296"/>
      <c r="R54" s="1296"/>
    </row>
    <row r="55" spans="1:18" s="1455" customFormat="1" ht="15.75" thickBot="1">
      <c r="A55" s="2672" t="s">
        <v>2556</v>
      </c>
      <c r="B55" s="2673" t="s">
        <v>2544</v>
      </c>
      <c r="C55" s="2674"/>
      <c r="D55" s="2636"/>
      <c r="E55" s="2719"/>
      <c r="F55" s="2542"/>
      <c r="I55" s="3324" t="s">
        <v>2437</v>
      </c>
      <c r="J55" s="3323" t="e">
        <f ca="1">ROUND(IF(J47="钢混",J57/J50,1-(1-2%)*(J50-J57)/J50),3)</f>
        <v>#DIV/0!</v>
      </c>
      <c r="K55" s="2553" t="s">
        <v>2438</v>
      </c>
      <c r="L55" s="2575"/>
      <c r="O55" s="2596" t="s">
        <v>2478</v>
      </c>
      <c r="P55" s="2597" t="s">
        <v>2479</v>
      </c>
      <c r="Q55" s="2598" t="s">
        <v>2477</v>
      </c>
      <c r="R55" s="2598" t="s">
        <v>2480</v>
      </c>
    </row>
    <row r="56" spans="1:18" s="1455" customFormat="1" ht="44.25" thickTop="1" thickBot="1">
      <c r="A56" s="2411">
        <v>2</v>
      </c>
      <c r="B56" s="2412" t="s">
        <v>924</v>
      </c>
      <c r="C56" s="608">
        <f ca="1">C13</f>
        <v>0</v>
      </c>
      <c r="D56" s="2700"/>
      <c r="E56" s="2413"/>
      <c r="F56" s="2542"/>
      <c r="I56" s="2545" t="s">
        <v>2439</v>
      </c>
      <c r="J56" s="2574"/>
      <c r="K56" s="2546" t="s">
        <v>2443</v>
      </c>
      <c r="L56" s="2170">
        <f ca="1">IF(L48&lt;J51,"——",L48-J51)</f>
        <v>0</v>
      </c>
      <c r="O56" s="2589" t="s">
        <v>2463</v>
      </c>
      <c r="P56" s="2599" t="s">
        <v>2481</v>
      </c>
      <c r="Q56" s="2590" t="e">
        <f ca="1">C40+J29</f>
        <v>#DIV/0!</v>
      </c>
      <c r="R56" s="2590" t="s">
        <v>2482</v>
      </c>
    </row>
    <row r="57" spans="1:18" s="1455" customFormat="1" ht="29.25" thickBot="1">
      <c r="A57" s="2543"/>
      <c r="B57" s="2404" t="s">
        <v>973</v>
      </c>
      <c r="C57" s="614">
        <f ca="1">C29</f>
        <v>0</v>
      </c>
      <c r="D57" s="2415"/>
      <c r="E57" s="2416"/>
      <c r="F57" s="2544"/>
      <c r="I57" s="2547" t="s">
        <v>2460</v>
      </c>
      <c r="J57" s="2551">
        <f ca="1">IF(OR(M47="住宅",J51&lt;L48,J56="是"),"——",J51-L48)</f>
        <v>0</v>
      </c>
      <c r="K57" s="2546" t="s">
        <v>2453</v>
      </c>
      <c r="L57" s="2170">
        <f ca="1">IF(L48&lt;J51,"——",IF(L55="比较法",L49,IF(L55="基准地价",L50,L51)))</f>
        <v>0</v>
      </c>
      <c r="O57" s="2589" t="s">
        <v>2464</v>
      </c>
      <c r="P57" s="2599" t="s">
        <v>2488</v>
      </c>
      <c r="Q57" s="2590" t="e">
        <f ca="1">L60</f>
        <v>#DIV/0!</v>
      </c>
      <c r="R57" s="2590" t="s">
        <v>2503</v>
      </c>
    </row>
    <row r="58" spans="1:18" s="1455" customFormat="1" ht="29.25" thickBot="1">
      <c r="A58" s="697" t="s">
        <v>2351</v>
      </c>
      <c r="B58" s="2412" t="s">
        <v>931</v>
      </c>
      <c r="C58" s="698">
        <f ca="1">ROUND(C59+C64+C65+C66,0)</f>
        <v>0</v>
      </c>
      <c r="D58" s="2418" t="s">
        <v>932</v>
      </c>
      <c r="E58" s="2419"/>
      <c r="F58" s="2420"/>
      <c r="I58" s="2547" t="s">
        <v>2440</v>
      </c>
      <c r="J58" s="3325" t="e">
        <f ca="1">IF(J55&lt;0.4,0.4,J55)</f>
        <v>#DIV/0!</v>
      </c>
      <c r="K58" s="2570" t="s">
        <v>2462</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ROUND(IF(项目基本情况!B11="自然人",C48*F59,C60+C61+C62),0)</f>
        <v>0</v>
      </c>
      <c r="D59" s="2421" t="s">
        <v>935</v>
      </c>
      <c r="E59" s="2422" t="s">
        <v>936</v>
      </c>
      <c r="F59" s="708">
        <f ca="1">IF(项目基本情况!B11="企业","",IF(INDIRECT("'数据-取费表'!c"&amp;$G$1)="住宅",5%,IF(F49*F50*F51/12/(1+'数据-取费表'!C42)&gt;20000,12%,7%)))</f>
        <v>7.0000000000000007E-2</v>
      </c>
      <c r="I59" s="2547" t="s">
        <v>2441</v>
      </c>
      <c r="J59" s="2551" t="e">
        <f ca="1">IF(OR(M47="住宅",J51&lt;L48,J56="是"),"——",ROUND(C29*J58,0))</f>
        <v>#DIV/0!</v>
      </c>
      <c r="K59" s="2570" t="s">
        <v>2450</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937</v>
      </c>
      <c r="C60" s="313">
        <f ca="1">IF(项目基本情况!B11="自然人","——",ROUND(C48*F60/(1+'数据-取费表'!C42),0))</f>
        <v>0</v>
      </c>
      <c r="D60" s="2422" t="s">
        <v>938</v>
      </c>
      <c r="E60" s="2404" t="s">
        <v>366</v>
      </c>
      <c r="F60" s="717">
        <f t="shared" ref="F60:F66" si="0">F32</f>
        <v>5.5000000000000007E-2</v>
      </c>
      <c r="I60" s="2548" t="s">
        <v>2442</v>
      </c>
      <c r="J60" s="2552" t="e">
        <f ca="1">IF(OR(M47="住宅",J51&lt;L48,J56="是"),"0",ROUND(J59/(1+J52)^J53,0))</f>
        <v>#DIV/0!</v>
      </c>
      <c r="K60" s="2554" t="s">
        <v>2445</v>
      </c>
      <c r="L60" s="2552" t="e">
        <f ca="1">IF(OR(M47="住宅",L48&lt;J51),0,ROUND(L57*(L58/L59-1),0))</f>
        <v>#DIV/0!</v>
      </c>
      <c r="O60" s="2591" t="s">
        <v>2467</v>
      </c>
      <c r="P60" s="2599" t="s">
        <v>2497</v>
      </c>
      <c r="Q60" s="2590">
        <f ca="1">L58</f>
        <v>0</v>
      </c>
      <c r="R60" s="2590" t="s">
        <v>2472</v>
      </c>
    </row>
    <row r="61" spans="1:18" s="1455" customFormat="1" ht="20.25" thickBot="1">
      <c r="A61" s="2440" t="s">
        <v>2384</v>
      </c>
      <c r="B61" s="2404" t="s">
        <v>940</v>
      </c>
      <c r="C61" s="313">
        <f ca="1">IF(项目基本情况!B11="自然人","——",IF(D61="按租金收入计税",ROUND(C48*F61,0),IF(D61="按房产原值计税",ROUND(C57*F61*0.7,0),INDIRECT("'数据-取费表'!Aj"&amp;$G$1))))</f>
        <v>0</v>
      </c>
      <c r="D61" s="1301" t="s">
        <v>2427</v>
      </c>
      <c r="E61" s="2404" t="s">
        <v>366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942</v>
      </c>
      <c r="C62" s="314">
        <f ca="1">IF(项目基本情况!B11="自然人","——",ROUND(F62*F63,0))</f>
        <v>0</v>
      </c>
      <c r="D62" s="2423" t="s">
        <v>943</v>
      </c>
      <c r="E62" s="2404" t="s">
        <v>944</v>
      </c>
      <c r="F62" s="711">
        <f t="shared" si="0"/>
        <v>3</v>
      </c>
      <c r="I62" s="2549" t="s">
        <v>2432</v>
      </c>
      <c r="J62" s="2550" t="s">
        <v>2433</v>
      </c>
      <c r="K62" s="2550" t="s">
        <v>2434</v>
      </c>
      <c r="L62" s="2550" t="s">
        <v>2430</v>
      </c>
      <c r="M62" s="3326" t="s">
        <v>3053</v>
      </c>
      <c r="O62" s="2589" t="s">
        <v>2469</v>
      </c>
      <c r="P62" s="2599" t="s">
        <v>2487</v>
      </c>
      <c r="Q62" s="2590" t="e">
        <f ca="1">Q56+Q57</f>
        <v>#DIV/0!</v>
      </c>
      <c r="R62" s="2590" t="s">
        <v>2470</v>
      </c>
    </row>
    <row r="63" spans="1:18" s="1455" customFormat="1" ht="16.5" thickBot="1">
      <c r="A63" s="712"/>
      <c r="B63" s="2410"/>
      <c r="C63" s="318"/>
      <c r="D63" s="2424"/>
      <c r="E63" s="2404" t="s">
        <v>948</v>
      </c>
      <c r="F63" s="685">
        <f t="shared" ca="1" si="0"/>
        <v>0</v>
      </c>
      <c r="I63" s="2549" t="s">
        <v>2446</v>
      </c>
      <c r="J63" s="3329">
        <v>70</v>
      </c>
      <c r="K63" s="3329">
        <v>50</v>
      </c>
      <c r="L63" s="3329">
        <v>80</v>
      </c>
      <c r="M63" s="3327">
        <v>0.02</v>
      </c>
      <c r="O63" s="2593" t="s">
        <v>2501</v>
      </c>
      <c r="P63" s="1296"/>
      <c r="Q63" s="1296"/>
      <c r="R63" s="1296"/>
    </row>
    <row r="64" spans="1:18" s="1455" customFormat="1" ht="15.75" thickBot="1">
      <c r="A64" s="2440" t="s">
        <v>2393</v>
      </c>
      <c r="B64" s="2404" t="s">
        <v>950</v>
      </c>
      <c r="C64" s="313">
        <f ca="1">ROUND(C57*F64,0)</f>
        <v>0</v>
      </c>
      <c r="D64" s="2422" t="s">
        <v>980</v>
      </c>
      <c r="E64" s="2404" t="s">
        <v>366</v>
      </c>
      <c r="F64" s="714">
        <f t="shared" ca="1" si="0"/>
        <v>0</v>
      </c>
      <c r="I64" s="2549" t="s">
        <v>107</v>
      </c>
      <c r="J64" s="3329">
        <v>50</v>
      </c>
      <c r="K64" s="3329">
        <v>35</v>
      </c>
      <c r="L64" s="3329">
        <v>60</v>
      </c>
      <c r="M64" s="3328">
        <v>0</v>
      </c>
      <c r="O64" s="2596" t="s">
        <v>2478</v>
      </c>
      <c r="P64" s="2597" t="s">
        <v>2479</v>
      </c>
      <c r="Q64" s="2598" t="s">
        <v>2477</v>
      </c>
      <c r="R64" s="2598" t="s">
        <v>2480</v>
      </c>
    </row>
    <row r="65" spans="1:18" s="1455" customFormat="1" ht="15.75" thickBot="1">
      <c r="A65" s="2440" t="s">
        <v>2387</v>
      </c>
      <c r="B65" s="2404" t="s">
        <v>369</v>
      </c>
      <c r="C65" s="313">
        <f ca="1">ROUND(C56*F65,0)</f>
        <v>0</v>
      </c>
      <c r="D65" s="2422" t="s">
        <v>370</v>
      </c>
      <c r="E65" s="2404" t="s">
        <v>366</v>
      </c>
      <c r="F65" s="716">
        <f t="shared" ca="1" si="0"/>
        <v>0</v>
      </c>
      <c r="I65" s="2549" t="s">
        <v>2448</v>
      </c>
      <c r="J65" s="3329">
        <v>40</v>
      </c>
      <c r="K65" s="3329">
        <v>30</v>
      </c>
      <c r="L65" s="3329">
        <v>50</v>
      </c>
      <c r="M65" s="3327">
        <v>0.02</v>
      </c>
      <c r="O65" s="2589" t="s">
        <v>2463</v>
      </c>
      <c r="P65" s="2599" t="s">
        <v>2481</v>
      </c>
      <c r="Q65" s="2590" t="e">
        <f ca="1">C40+J29</f>
        <v>#DIV/0!</v>
      </c>
      <c r="R65" s="2590" t="s">
        <v>2482</v>
      </c>
    </row>
    <row r="66" spans="1:18" s="1455" customFormat="1" ht="20.25" thickBot="1">
      <c r="A66" s="2440" t="s">
        <v>2388</v>
      </c>
      <c r="B66" s="2404" t="s">
        <v>368</v>
      </c>
      <c r="C66" s="313">
        <f ca="1">ROUND(C48*F66,0)</f>
        <v>0</v>
      </c>
      <c r="D66" s="2422" t="s">
        <v>372</v>
      </c>
      <c r="E66" s="2404" t="s">
        <v>366</v>
      </c>
      <c r="F66" s="694">
        <f t="shared" ca="1" si="0"/>
        <v>0</v>
      </c>
      <c r="O66" s="2589" t="s">
        <v>2464</v>
      </c>
      <c r="P66" s="2599" t="s">
        <v>2488</v>
      </c>
      <c r="Q66" s="2590" t="e">
        <f ca="1">L60</f>
        <v>#DIV/0!</v>
      </c>
      <c r="R66" s="2590" t="s">
        <v>2471</v>
      </c>
    </row>
    <row r="67" spans="1:18" s="1455" customFormat="1" ht="24.75" thickBot="1">
      <c r="A67" s="2411" t="s">
        <v>2366</v>
      </c>
      <c r="B67" s="2425" t="s">
        <v>378</v>
      </c>
      <c r="C67" s="698">
        <f ca="1">C48-C58</f>
        <v>0</v>
      </c>
      <c r="D67" s="2421" t="s">
        <v>379</v>
      </c>
      <c r="E67" s="2426"/>
      <c r="F67" s="2427"/>
      <c r="O67" s="2591" t="s">
        <v>2465</v>
      </c>
      <c r="P67" s="2599" t="s">
        <v>2495</v>
      </c>
      <c r="Q67" s="2594">
        <f ca="1">L51</f>
        <v>0</v>
      </c>
      <c r="R67" s="2595" t="s">
        <v>2505</v>
      </c>
    </row>
    <row r="68" spans="1:18" s="1455" customFormat="1" ht="20.25" thickBot="1">
      <c r="A68" s="2401" t="s">
        <v>2369</v>
      </c>
      <c r="B68" s="2402" t="s">
        <v>380</v>
      </c>
      <c r="C68" s="683" t="e">
        <f ca="1">ROUND(C67*(1-((1+F70)/(1+F68))^F69)/(F68-F70),0)</f>
        <v>#DIV/0!</v>
      </c>
      <c r="D68" s="2423" t="s">
        <v>374</v>
      </c>
      <c r="E68" s="2404" t="s">
        <v>375</v>
      </c>
      <c r="F68" s="694">
        <f ca="1">F40</f>
        <v>0</v>
      </c>
      <c r="O68" s="2591" t="s">
        <v>2466</v>
      </c>
      <c r="P68" s="2600" t="s">
        <v>2499</v>
      </c>
      <c r="Q68" s="2590">
        <f ca="1">ROUND(Q69-Q70*Q71,0)</f>
        <v>0</v>
      </c>
      <c r="R68" s="2590" t="s">
        <v>2504</v>
      </c>
    </row>
    <row r="69" spans="1:18" s="1455" customFormat="1" ht="15.75" thickBot="1">
      <c r="A69" s="2405"/>
      <c r="B69" s="2406"/>
      <c r="C69" s="688"/>
      <c r="D69" s="2428" t="s">
        <v>965</v>
      </c>
      <c r="E69" s="2404" t="s">
        <v>382</v>
      </c>
      <c r="F69" s="719">
        <f ca="1">F41</f>
        <v>0</v>
      </c>
      <c r="O69" s="2591" t="s">
        <v>2474</v>
      </c>
      <c r="P69" s="2600" t="s">
        <v>2489</v>
      </c>
      <c r="Q69" s="2590">
        <f ca="1">C39</f>
        <v>0</v>
      </c>
      <c r="R69" s="2590" t="s">
        <v>2482</v>
      </c>
    </row>
    <row r="70" spans="1:18" s="1455" customFormat="1" ht="15.75" thickBot="1">
      <c r="A70" s="2408"/>
      <c r="B70" s="2409"/>
      <c r="C70" s="692"/>
      <c r="D70" s="2424"/>
      <c r="E70" s="2404" t="s">
        <v>383</v>
      </c>
      <c r="F70" s="2534">
        <f ca="1">F42</f>
        <v>0</v>
      </c>
      <c r="O70" s="2591" t="s">
        <v>2475</v>
      </c>
      <c r="P70" s="2600" t="s">
        <v>2490</v>
      </c>
      <c r="Q70" s="2590">
        <f ca="1">C13</f>
        <v>0</v>
      </c>
      <c r="R70" s="2590" t="s">
        <v>2482</v>
      </c>
    </row>
    <row r="71" spans="1:18" s="1455" customFormat="1" ht="15.75" thickBot="1">
      <c r="A71" s="2429" t="s">
        <v>2376</v>
      </c>
      <c r="B71" s="2430" t="s">
        <v>384</v>
      </c>
      <c r="C71" s="722" t="e">
        <f ca="1">ROUND(C68/F71,0)</f>
        <v>#DIV/0!</v>
      </c>
      <c r="D71" s="2431" t="s">
        <v>385</v>
      </c>
      <c r="E71" s="2432" t="s">
        <v>386</v>
      </c>
      <c r="F71" s="725">
        <f ca="1">F43</f>
        <v>0</v>
      </c>
      <c r="I71" s="2399"/>
      <c r="K71" s="2399"/>
      <c r="O71" s="2591" t="s">
        <v>2476</v>
      </c>
      <c r="P71" s="2600" t="s">
        <v>2502</v>
      </c>
      <c r="Q71" s="2592">
        <f ca="1">C76</f>
        <v>0</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0</v>
      </c>
      <c r="D75" s="1455"/>
      <c r="E75" s="1455"/>
      <c r="F75" s="1455"/>
      <c r="K75" s="1456"/>
      <c r="L75" s="1455"/>
      <c r="O75" s="2589" t="s">
        <v>2469</v>
      </c>
      <c r="P75" s="2599" t="s">
        <v>2487</v>
      </c>
      <c r="Q75" s="2590" t="e">
        <f ca="1">Q65+Q66</f>
        <v>#DIV/0!</v>
      </c>
      <c r="R75" s="2590" t="s">
        <v>2470</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968</v>
      </c>
      <c r="C78" s="735"/>
    </row>
    <row r="79" spans="1:18">
      <c r="B79" s="2878" t="s">
        <v>2715</v>
      </c>
      <c r="C79" s="650" t="e">
        <f ca="1">1-C80</f>
        <v>#DIV/0!</v>
      </c>
    </row>
    <row r="80" spans="1:18">
      <c r="B80" s="2878" t="s">
        <v>2716</v>
      </c>
      <c r="C80" s="650" t="e">
        <f ca="1">ROUND(C75/C39,3)</f>
        <v>#DIV/0!</v>
      </c>
    </row>
    <row r="81" spans="2:3">
      <c r="B81" s="646" t="s">
        <v>388</v>
      </c>
      <c r="C81" s="647"/>
    </row>
    <row r="82" spans="2:3">
      <c r="B82" s="2877" t="s">
        <v>2713</v>
      </c>
      <c r="C82" s="651" t="e">
        <f ca="1">1-C83</f>
        <v>#DIV/0!</v>
      </c>
    </row>
    <row r="83" spans="2:3">
      <c r="B83" s="2877" t="s">
        <v>2712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2686</v>
      </c>
      <c r="B1" s="2786"/>
      <c r="C1" s="2786"/>
      <c r="D1" s="2786"/>
      <c r="E1" s="2787"/>
    </row>
    <row r="2" spans="1:5" ht="14.25">
      <c r="A2" s="2788" t="s">
        <v>2687</v>
      </c>
      <c r="B2" s="2782">
        <f ca="1">SUMIF(B6:B13,"&lt;&gt;#ref!",B6:B13)</f>
        <v>5818</v>
      </c>
      <c r="C2" s="2783" t="s">
        <v>2684</v>
      </c>
      <c r="D2" s="2784" t="s">
        <v>2689</v>
      </c>
      <c r="E2" s="2792">
        <f>SUM(E6:E13)</f>
        <v>20083.5</v>
      </c>
    </row>
    <row r="3" spans="1:5" ht="14.25">
      <c r="A3" s="2788" t="s">
        <v>2688</v>
      </c>
      <c r="B3" s="2782">
        <f ca="1">ROUND(B2*10000/E2,0)</f>
        <v>2897</v>
      </c>
      <c r="C3" s="2783" t="s">
        <v>2685</v>
      </c>
      <c r="D3" s="2789"/>
      <c r="E3" s="2793"/>
    </row>
    <row r="4" spans="1:5" ht="14.25">
      <c r="A4" s="2796"/>
      <c r="B4" s="2789"/>
      <c r="C4" s="2789"/>
      <c r="D4" s="2789"/>
      <c r="E4" s="2793"/>
    </row>
    <row r="5" spans="1:5">
      <c r="A5" s="2800" t="s">
        <v>2691</v>
      </c>
      <c r="B5" s="3582" t="s">
        <v>2693</v>
      </c>
      <c r="C5" s="3582"/>
      <c r="D5" s="2799"/>
      <c r="E5" s="2801" t="s">
        <v>2692</v>
      </c>
    </row>
    <row r="6" spans="1:5">
      <c r="A6" s="2797" t="str">
        <f>'数据-取费表'!AN6</f>
        <v>收益法</v>
      </c>
      <c r="B6" s="2791">
        <f ca="1">'数据-取费表'!AO6</f>
        <v>5818</v>
      </c>
      <c r="C6" s="2783" t="s">
        <v>2684</v>
      </c>
      <c r="D6" s="2789"/>
      <c r="E6" s="2792">
        <f>IF(A6=0,0,'数据-取费表'!K6+'数据-取费表'!S6)</f>
        <v>20083.5</v>
      </c>
    </row>
    <row r="7" spans="1:5">
      <c r="A7" s="2797">
        <f>'数据-取费表'!AN7</f>
        <v>0</v>
      </c>
      <c r="B7" s="2791" t="e">
        <f ca="1">'数据-取费表'!AO7</f>
        <v>#REF!</v>
      </c>
      <c r="C7" s="2783" t="s">
        <v>2684</v>
      </c>
      <c r="D7" s="2789"/>
      <c r="E7" s="2792">
        <f>IF(A7=0,0,'数据-取费表'!K7+'数据-取费表'!S7)</f>
        <v>0</v>
      </c>
    </row>
    <row r="8" spans="1:5">
      <c r="A8" s="2797">
        <f>'数据-取费表'!AN8</f>
        <v>0</v>
      </c>
      <c r="B8" s="2791" t="e">
        <f ca="1">'数据-取费表'!AO8</f>
        <v>#REF!</v>
      </c>
      <c r="C8" s="2783" t="s">
        <v>2684</v>
      </c>
      <c r="D8" s="2789"/>
      <c r="E8" s="2792">
        <f>IF(A8=0,0,'数据-取费表'!K8+'数据-取费表'!S8)</f>
        <v>0</v>
      </c>
    </row>
    <row r="9" spans="1:5">
      <c r="A9" s="2797">
        <f>'数据-取费表'!AN9</f>
        <v>0</v>
      </c>
      <c r="B9" s="2791" t="e">
        <f ca="1">'数据-取费表'!AO9</f>
        <v>#REF!</v>
      </c>
      <c r="C9" s="2783" t="s">
        <v>2684</v>
      </c>
      <c r="D9" s="2789"/>
      <c r="E9" s="2792">
        <f>IF(A9=0,0,'数据-取费表'!K9+'数据-取费表'!S9)</f>
        <v>0</v>
      </c>
    </row>
    <row r="10" spans="1:5">
      <c r="A10" s="2797">
        <f>'数据-取费表'!AN10</f>
        <v>0</v>
      </c>
      <c r="B10" s="2791" t="e">
        <f ca="1">'数据-取费表'!AO10</f>
        <v>#REF!</v>
      </c>
      <c r="C10" s="2783" t="s">
        <v>2684</v>
      </c>
      <c r="D10" s="2789"/>
      <c r="E10" s="2792">
        <f>IF(A10=0,0,'数据-取费表'!K10+'数据-取费表'!S10)</f>
        <v>0</v>
      </c>
    </row>
    <row r="11" spans="1:5">
      <c r="A11" s="2797">
        <f>'数据-取费表'!AN11</f>
        <v>0</v>
      </c>
      <c r="B11" s="2791" t="e">
        <f ca="1">'数据-取费表'!AO11</f>
        <v>#REF!</v>
      </c>
      <c r="C11" s="2783" t="s">
        <v>2684</v>
      </c>
      <c r="D11" s="2789"/>
      <c r="E11" s="2792">
        <f>IF(A11=0,0,'数据-取费表'!K11+'数据-取费表'!S11)</f>
        <v>0</v>
      </c>
    </row>
    <row r="12" spans="1:5">
      <c r="A12" s="2797">
        <f>'数据-取费表'!AN12</f>
        <v>0</v>
      </c>
      <c r="B12" s="2791" t="e">
        <f ca="1">'数据-取费表'!AO12</f>
        <v>#REF!</v>
      </c>
      <c r="C12" s="2783" t="s">
        <v>2684</v>
      </c>
      <c r="D12" s="2789"/>
      <c r="E12" s="2792">
        <f>IF(A12=0,0,'数据-取费表'!K12+'数据-取费表'!S12)</f>
        <v>0</v>
      </c>
    </row>
    <row r="13" spans="1:5" ht="14.25" thickBot="1">
      <c r="A13" s="2798">
        <f>'数据-取费表'!AN13</f>
        <v>0</v>
      </c>
      <c r="B13" s="2794" t="e">
        <f ca="1">'数据-取费表'!AO13</f>
        <v>#REF!</v>
      </c>
      <c r="C13" s="2802" t="s">
        <v>2684</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3" t="s">
        <v>2560</v>
      </c>
      <c r="B1" s="3584"/>
      <c r="C1" s="3585"/>
      <c r="D1" s="3586">
        <f>SUM(I10,I15,I20,I21,I23)</f>
        <v>0</v>
      </c>
      <c r="E1" s="3586"/>
      <c r="F1" s="3586"/>
      <c r="G1" s="3586"/>
      <c r="H1" s="3586"/>
      <c r="I1" s="3587"/>
    </row>
    <row r="2" spans="1:9">
      <c r="A2" s="3588" t="s">
        <v>2561</v>
      </c>
      <c r="B2" s="3589" t="s">
        <v>2562</v>
      </c>
      <c r="C2" s="3589"/>
      <c r="D2" s="2640" t="s">
        <v>2563</v>
      </c>
      <c r="E2" s="2640" t="s">
        <v>2564</v>
      </c>
      <c r="F2" s="2640" t="s">
        <v>2565</v>
      </c>
      <c r="G2" s="2640" t="s">
        <v>2566</v>
      </c>
      <c r="H2" s="2640" t="s">
        <v>2567</v>
      </c>
      <c r="I2" s="2641" t="s">
        <v>2568</v>
      </c>
    </row>
    <row r="3" spans="1:9">
      <c r="A3" s="3588"/>
      <c r="B3" s="3589" t="s">
        <v>2569</v>
      </c>
      <c r="C3" s="3589"/>
      <c r="D3" s="2642"/>
      <c r="E3" s="2640"/>
      <c r="F3" s="2643"/>
      <c r="G3" s="2643"/>
      <c r="H3" s="2644"/>
      <c r="I3" s="2645">
        <f>ROUND(D3*E3*F3*G3*H3/10000,0)</f>
        <v>0</v>
      </c>
    </row>
    <row r="4" spans="1:9">
      <c r="A4" s="3588"/>
      <c r="B4" s="3589" t="s">
        <v>2570</v>
      </c>
      <c r="C4" s="3589"/>
      <c r="D4" s="2642"/>
      <c r="E4" s="2640"/>
      <c r="F4" s="2643"/>
      <c r="G4" s="2643"/>
      <c r="H4" s="2644"/>
      <c r="I4" s="2645">
        <f t="shared" ref="I4:I9" si="0">ROUND(D4*E4*F4*G4*H4/10000,0)</f>
        <v>0</v>
      </c>
    </row>
    <row r="5" spans="1:9">
      <c r="A5" s="3588"/>
      <c r="B5" s="3589" t="s">
        <v>2571</v>
      </c>
      <c r="C5" s="3589"/>
      <c r="D5" s="2642"/>
      <c r="E5" s="2640"/>
      <c r="F5" s="2643"/>
      <c r="G5" s="2643"/>
      <c r="H5" s="2644"/>
      <c r="I5" s="2645">
        <f t="shared" si="0"/>
        <v>0</v>
      </c>
    </row>
    <row r="6" spans="1:9">
      <c r="A6" s="3588"/>
      <c r="B6" s="3589" t="s">
        <v>2572</v>
      </c>
      <c r="C6" s="3589"/>
      <c r="D6" s="2642"/>
      <c r="E6" s="2640"/>
      <c r="F6" s="2643"/>
      <c r="G6" s="2643"/>
      <c r="H6" s="2644"/>
      <c r="I6" s="2645">
        <f t="shared" si="0"/>
        <v>0</v>
      </c>
    </row>
    <row r="7" spans="1:9">
      <c r="A7" s="3588"/>
      <c r="B7" s="3589" t="s">
        <v>2573</v>
      </c>
      <c r="C7" s="3589"/>
      <c r="D7" s="2642"/>
      <c r="E7" s="2640"/>
      <c r="F7" s="2643"/>
      <c r="G7" s="2643"/>
      <c r="H7" s="2644"/>
      <c r="I7" s="2645">
        <f t="shared" si="0"/>
        <v>0</v>
      </c>
    </row>
    <row r="8" spans="1:9">
      <c r="A8" s="3588"/>
      <c r="B8" s="3589" t="s">
        <v>2574</v>
      </c>
      <c r="C8" s="3589"/>
      <c r="D8" s="2642"/>
      <c r="E8" s="2640"/>
      <c r="F8" s="2643"/>
      <c r="G8" s="2643"/>
      <c r="H8" s="2644"/>
      <c r="I8" s="2645">
        <f t="shared" si="0"/>
        <v>0</v>
      </c>
    </row>
    <row r="9" spans="1:9">
      <c r="A9" s="3588"/>
      <c r="B9" s="3589" t="s">
        <v>2575</v>
      </c>
      <c r="C9" s="3589"/>
      <c r="D9" s="2642"/>
      <c r="E9" s="2640"/>
      <c r="F9" s="2643"/>
      <c r="G9" s="2643"/>
      <c r="H9" s="2644"/>
      <c r="I9" s="2645">
        <f t="shared" si="0"/>
        <v>0</v>
      </c>
    </row>
    <row r="10" spans="1:9">
      <c r="A10" s="3588"/>
      <c r="B10" s="3590" t="s">
        <v>2576</v>
      </c>
      <c r="C10" s="3590"/>
      <c r="D10" s="2646"/>
      <c r="E10" s="2646" t="e">
        <f>ROUND(D1*10000/D10/H9,0)</f>
        <v>#DIV/0!</v>
      </c>
      <c r="F10" s="2647"/>
      <c r="G10" s="2647"/>
      <c r="H10" s="2648"/>
      <c r="I10" s="2649">
        <f>SUM(I3:I9)</f>
        <v>0</v>
      </c>
    </row>
    <row r="11" spans="1:9" ht="14.25">
      <c r="A11" s="3588" t="s">
        <v>2577</v>
      </c>
      <c r="B11" s="3589" t="s">
        <v>2578</v>
      </c>
      <c r="C11" s="3589"/>
      <c r="D11" s="2642" t="s">
        <v>2579</v>
      </c>
      <c r="E11" s="2642" t="s">
        <v>2580</v>
      </c>
      <c r="F11" s="2643" t="s">
        <v>2581</v>
      </c>
      <c r="G11" s="2643" t="s">
        <v>2567</v>
      </c>
      <c r="H11" s="2650" t="s">
        <v>2582</v>
      </c>
      <c r="I11" s="2641" t="s">
        <v>2568</v>
      </c>
    </row>
    <row r="12" spans="1:9">
      <c r="A12" s="3588"/>
      <c r="B12" s="3589" t="s">
        <v>2583</v>
      </c>
      <c r="C12" s="3589"/>
      <c r="D12" s="2642"/>
      <c r="E12" s="2642"/>
      <c r="F12" s="2643"/>
      <c r="G12" s="2644"/>
      <c r="H12" s="2651"/>
      <c r="I12" s="2641">
        <f>ROUND(D12*E12*F12*G12/10000,0)</f>
        <v>0</v>
      </c>
    </row>
    <row r="13" spans="1:9">
      <c r="A13" s="3588"/>
      <c r="B13" s="3589" t="s">
        <v>2584</v>
      </c>
      <c r="C13" s="3589"/>
      <c r="D13" s="2642"/>
      <c r="E13" s="2642"/>
      <c r="F13" s="2643"/>
      <c r="G13" s="2644"/>
      <c r="H13" s="2651"/>
      <c r="I13" s="2641">
        <f>ROUND(D13*E13*F13*G13/10000,0)</f>
        <v>0</v>
      </c>
    </row>
    <row r="14" spans="1:9">
      <c r="A14" s="3588"/>
      <c r="B14" s="3589" t="s">
        <v>2585</v>
      </c>
      <c r="C14" s="3589"/>
      <c r="D14" s="2642"/>
      <c r="E14" s="2642"/>
      <c r="F14" s="2643"/>
      <c r="G14" s="2644"/>
      <c r="H14" s="2651"/>
      <c r="I14" s="2641">
        <f>ROUND(D14*E14*F14*G14/10000,0)</f>
        <v>0</v>
      </c>
    </row>
    <row r="15" spans="1:9">
      <c r="A15" s="3588"/>
      <c r="B15" s="3590" t="s">
        <v>2576</v>
      </c>
      <c r="C15" s="3590"/>
      <c r="D15" s="2646"/>
      <c r="E15" s="2646">
        <f>SUM(E12:E14)</f>
        <v>0</v>
      </c>
      <c r="F15" s="2647"/>
      <c r="G15" s="2644"/>
      <c r="H15" s="2651"/>
      <c r="I15" s="2652">
        <f>SUM(I12:I14)</f>
        <v>0</v>
      </c>
    </row>
    <row r="16" spans="1:9" ht="24">
      <c r="A16" s="3588" t="s">
        <v>2586</v>
      </c>
      <c r="B16" s="3589" t="s">
        <v>2587</v>
      </c>
      <c r="C16" s="3589"/>
      <c r="D16" s="2642" t="s">
        <v>2563</v>
      </c>
      <c r="E16" s="2653" t="s">
        <v>2588</v>
      </c>
      <c r="F16" s="2643" t="s">
        <v>2589</v>
      </c>
      <c r="G16" s="2644" t="s">
        <v>2567</v>
      </c>
      <c r="H16" s="2650" t="s">
        <v>2582</v>
      </c>
      <c r="I16" s="2641" t="s">
        <v>2568</v>
      </c>
    </row>
    <row r="17" spans="1:9" ht="14.25">
      <c r="A17" s="3588"/>
      <c r="B17" s="3589" t="s">
        <v>2590</v>
      </c>
      <c r="C17" s="3589"/>
      <c r="D17" s="2642"/>
      <c r="E17" s="2642"/>
      <c r="F17" s="2643"/>
      <c r="G17" s="2644"/>
      <c r="H17" s="2654"/>
      <c r="I17" s="2655">
        <f>ROUND(D17*E17*F17*G17/10000,0)</f>
        <v>0</v>
      </c>
    </row>
    <row r="18" spans="1:9" ht="14.25">
      <c r="A18" s="3588"/>
      <c r="B18" s="3589" t="s">
        <v>2591</v>
      </c>
      <c r="C18" s="3589"/>
      <c r="D18" s="2642"/>
      <c r="E18" s="2642"/>
      <c r="F18" s="2643"/>
      <c r="G18" s="2644"/>
      <c r="H18" s="2654"/>
      <c r="I18" s="2655">
        <f>ROUND(D18*E18*F18*G18/10000,0)</f>
        <v>0</v>
      </c>
    </row>
    <row r="19" spans="1:9" ht="14.25">
      <c r="A19" s="3588"/>
      <c r="B19" s="3589" t="s">
        <v>2592</v>
      </c>
      <c r="C19" s="3589"/>
      <c r="D19" s="2642"/>
      <c r="E19" s="2642"/>
      <c r="F19" s="2643"/>
      <c r="G19" s="2644"/>
      <c r="H19" s="2654"/>
      <c r="I19" s="2655">
        <f>ROUND(D19*E19*F19*G19/10000,0)</f>
        <v>0</v>
      </c>
    </row>
    <row r="20" spans="1:9">
      <c r="A20" s="3588"/>
      <c r="B20" s="3590" t="s">
        <v>2576</v>
      </c>
      <c r="C20" s="3590"/>
      <c r="D20" s="2646">
        <f>SUM(D17:D19)</f>
        <v>0</v>
      </c>
      <c r="E20" s="2646"/>
      <c r="F20" s="2647"/>
      <c r="G20" s="2644"/>
      <c r="H20" s="2651"/>
      <c r="I20" s="2652">
        <f>SUM(I17:I19)</f>
        <v>0</v>
      </c>
    </row>
    <row r="21" spans="1:9">
      <c r="A21" s="3588" t="s">
        <v>2593</v>
      </c>
      <c r="B21" s="3592"/>
      <c r="C21" s="3592"/>
      <c r="D21" s="3592"/>
      <c r="E21" s="3592"/>
      <c r="F21" s="3592"/>
      <c r="G21" s="3592"/>
      <c r="H21" s="3304">
        <v>0.1</v>
      </c>
      <c r="I21" s="2649">
        <f>ROUND(I10*H21,0)</f>
        <v>0</v>
      </c>
    </row>
    <row r="22" spans="1:9" ht="14.25">
      <c r="A22" s="3593" t="s">
        <v>2594</v>
      </c>
      <c r="B22" s="3594"/>
      <c r="C22" s="3595"/>
      <c r="D22" s="2656" t="s">
        <v>2595</v>
      </c>
      <c r="E22" s="2656" t="s">
        <v>2596</v>
      </c>
      <c r="F22" s="2657" t="s">
        <v>2597</v>
      </c>
      <c r="G22" s="2657" t="s">
        <v>2598</v>
      </c>
      <c r="H22" s="2650" t="s">
        <v>2599</v>
      </c>
      <c r="I22" s="2641" t="s">
        <v>2600</v>
      </c>
    </row>
    <row r="23" spans="1:9" ht="14.25" thickBot="1">
      <c r="A23" s="3596"/>
      <c r="B23" s="3597"/>
      <c r="C23" s="3598"/>
      <c r="D23" s="2658"/>
      <c r="E23" s="2658"/>
      <c r="F23" s="2658"/>
      <c r="G23" s="2659"/>
      <c r="H23" s="2660"/>
      <c r="I23" s="2661">
        <f>ROUND(E23*D23*F23*(1-G23)/10000,0)</f>
        <v>0</v>
      </c>
    </row>
    <row r="26" spans="1:9">
      <c r="A26" s="2662" t="s">
        <v>2601</v>
      </c>
      <c r="B26" s="2662"/>
      <c r="C26" s="2662"/>
      <c r="D26" s="2662"/>
      <c r="E26" s="3599">
        <f>C27-C30-C31-C32</f>
        <v>0</v>
      </c>
      <c r="F26" s="3599"/>
      <c r="G26" s="3599"/>
      <c r="H26" s="3256" t="s">
        <v>2974</v>
      </c>
    </row>
    <row r="27" spans="1:9">
      <c r="A27" s="2663">
        <v>1</v>
      </c>
      <c r="B27" s="2664" t="s">
        <v>2602</v>
      </c>
      <c r="C27" s="2664">
        <f>C28+C29</f>
        <v>0</v>
      </c>
      <c r="D27" s="2664"/>
      <c r="E27" s="3600"/>
      <c r="F27" s="3600"/>
      <c r="G27" s="3600"/>
    </row>
    <row r="28" spans="1:9">
      <c r="A28" s="2665" t="s">
        <v>2603</v>
      </c>
      <c r="B28" s="2664" t="s">
        <v>2604</v>
      </c>
      <c r="C28" s="2664"/>
      <c r="D28" s="2664"/>
      <c r="E28" s="3600"/>
      <c r="F28" s="3600"/>
      <c r="G28" s="3600"/>
    </row>
    <row r="29" spans="1:9">
      <c r="A29" s="2665" t="s">
        <v>2605</v>
      </c>
      <c r="B29" s="2664" t="s">
        <v>2606</v>
      </c>
      <c r="C29" s="2664"/>
      <c r="D29" s="2664"/>
      <c r="E29" s="2664" t="s">
        <v>2607</v>
      </c>
      <c r="F29" s="2664"/>
      <c r="G29" s="2664"/>
    </row>
    <row r="30" spans="1:9">
      <c r="A30" s="2663">
        <v>2</v>
      </c>
      <c r="B30" s="2664" t="s">
        <v>2608</v>
      </c>
      <c r="C30" s="2664">
        <f>C27*D30</f>
        <v>0</v>
      </c>
      <c r="D30" s="2666">
        <v>0.2</v>
      </c>
      <c r="E30" s="2664" t="s">
        <v>2609</v>
      </c>
      <c r="F30" s="2664"/>
      <c r="G30" s="2664"/>
    </row>
    <row r="31" spans="1:9">
      <c r="A31" s="2663">
        <v>3</v>
      </c>
      <c r="B31" s="2664" t="s">
        <v>2610</v>
      </c>
      <c r="C31" s="2664">
        <f>C25*D31</f>
        <v>0</v>
      </c>
      <c r="D31" s="2666">
        <v>0.15</v>
      </c>
      <c r="E31" s="2664" t="s">
        <v>2611</v>
      </c>
      <c r="F31" s="2664"/>
      <c r="G31" s="2664"/>
    </row>
    <row r="32" spans="1:9">
      <c r="A32" s="2663">
        <v>4</v>
      </c>
      <c r="B32" s="2664" t="s">
        <v>2612</v>
      </c>
      <c r="C32" s="2664">
        <f>C27*D32</f>
        <v>0</v>
      </c>
      <c r="D32" s="2666">
        <v>0.05</v>
      </c>
      <c r="E32" s="3591"/>
      <c r="F32" s="3591"/>
      <c r="G32" s="3591"/>
    </row>
    <row r="33" spans="1:7" hidden="1">
      <c r="A33" s="3601" t="s">
        <v>2613</v>
      </c>
      <c r="B33" s="3602"/>
      <c r="C33" s="3602"/>
      <c r="D33" s="3603"/>
      <c r="E33" s="3599"/>
      <c r="F33" s="3599"/>
      <c r="G33" s="3599"/>
    </row>
    <row r="34" spans="1:7" hidden="1">
      <c r="A34" s="2667">
        <v>1</v>
      </c>
      <c r="B34" s="2664" t="s">
        <v>2614</v>
      </c>
      <c r="C34" s="2664"/>
      <c r="D34" s="2664"/>
      <c r="E34" s="3600"/>
      <c r="F34" s="3600"/>
      <c r="G34" s="3600"/>
    </row>
    <row r="35" spans="1:7" hidden="1">
      <c r="A35" s="2667">
        <v>2</v>
      </c>
      <c r="B35" s="2664" t="s">
        <v>2615</v>
      </c>
      <c r="C35" s="2664"/>
      <c r="D35" s="2664"/>
      <c r="E35" s="3600"/>
      <c r="F35" s="3600"/>
      <c r="G35" s="3600"/>
    </row>
    <row r="36" spans="1:7" hidden="1">
      <c r="A36" s="2667">
        <v>3</v>
      </c>
      <c r="B36" s="2664" t="s">
        <v>2616</v>
      </c>
      <c r="C36" s="2664"/>
      <c r="D36" s="2664"/>
      <c r="E36" s="3600"/>
      <c r="F36" s="3600"/>
      <c r="G36" s="3600"/>
    </row>
    <row r="37" spans="1:7" hidden="1">
      <c r="A37" s="2667">
        <v>4</v>
      </c>
      <c r="B37" s="2664" t="s">
        <v>2617</v>
      </c>
      <c r="C37" s="2664"/>
      <c r="D37" s="2664"/>
      <c r="E37" s="3600"/>
      <c r="F37" s="3600"/>
      <c r="G37" s="3600"/>
    </row>
    <row r="38" spans="1:7" hidden="1">
      <c r="A38" s="3601" t="s">
        <v>2618</v>
      </c>
      <c r="B38" s="3602"/>
      <c r="C38" s="3602"/>
      <c r="D38" s="3603"/>
      <c r="E38" s="3599"/>
      <c r="F38" s="3599"/>
      <c r="G38" s="35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983</v>
      </c>
      <c r="B1" s="3106" t="s">
        <v>984</v>
      </c>
      <c r="C1" s="3107" t="s">
        <v>985</v>
      </c>
      <c r="D1" s="3108"/>
      <c r="E1" s="3109"/>
      <c r="F1" s="3110" t="s">
        <v>2709</v>
      </c>
      <c r="G1" s="3112" t="s">
        <v>986</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987</v>
      </c>
      <c r="B2" s="2849" t="e">
        <f ca="1">IF(C2="——",ROUND(C49*D3/10000,0),ROUND(C49*D3/10000,0)-D2)</f>
        <v>#DIV/0!</v>
      </c>
      <c r="C2" s="3102"/>
      <c r="D2" s="2726" t="e">
        <f ca="1">SUMIF(INDIRECT("'"&amp;F2&amp;"'"&amp;"!A:A"),"承租人权益价值",INDIRECT("'"&amp;F2&amp;"'"&amp;"!c:c"))</f>
        <v>#REF!</v>
      </c>
      <c r="E2" s="3103" t="s">
        <v>872</v>
      </c>
      <c r="F2" s="3104"/>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20083.5</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618" t="s">
        <v>991</v>
      </c>
      <c r="D4" s="3619"/>
      <c r="E4" s="3620" t="s">
        <v>992</v>
      </c>
      <c r="F4" s="3621"/>
      <c r="G4" s="3618" t="s">
        <v>993</v>
      </c>
      <c r="H4" s="3619"/>
      <c r="I4" s="3618" t="s">
        <v>994</v>
      </c>
      <c r="J4" s="3619"/>
      <c r="K4" s="145" t="s">
        <v>995</v>
      </c>
      <c r="L4" s="2297"/>
      <c r="M4" s="2298"/>
      <c r="N4" s="2298"/>
      <c r="O4" s="2298"/>
      <c r="P4" s="3622" t="s">
        <v>990</v>
      </c>
      <c r="Q4" s="3623"/>
      <c r="R4" s="3609" t="s">
        <v>992</v>
      </c>
      <c r="S4" s="3610"/>
      <c r="T4" s="3609" t="s">
        <v>993</v>
      </c>
      <c r="U4" s="3610"/>
      <c r="V4" s="3630" t="s">
        <v>994</v>
      </c>
      <c r="W4" s="3630"/>
      <c r="X4" s="1340"/>
      <c r="Y4" s="3609" t="s">
        <v>990</v>
      </c>
      <c r="Z4" s="3610"/>
      <c r="AA4" s="3604" t="s">
        <v>992</v>
      </c>
      <c r="AB4" s="3604" t="s">
        <v>993</v>
      </c>
      <c r="AC4" s="3604" t="s">
        <v>994</v>
      </c>
    </row>
    <row r="5" spans="1:29">
      <c r="A5" s="146"/>
      <c r="B5" s="147"/>
      <c r="C5" s="3568" t="s">
        <v>996</v>
      </c>
      <c r="D5" s="3569"/>
      <c r="E5" s="3555" t="s">
        <v>997</v>
      </c>
      <c r="F5" s="3556"/>
      <c r="G5" s="3568" t="s">
        <v>998</v>
      </c>
      <c r="H5" s="3569"/>
      <c r="I5" s="3568" t="s">
        <v>999</v>
      </c>
      <c r="J5" s="3569"/>
      <c r="K5" s="152"/>
      <c r="L5" s="2297"/>
      <c r="M5" s="2298"/>
      <c r="N5" s="2298"/>
      <c r="O5" s="2298"/>
      <c r="P5" s="3624"/>
      <c r="Q5" s="3625"/>
      <c r="R5" s="3611"/>
      <c r="S5" s="3612"/>
      <c r="T5" s="3611"/>
      <c r="U5" s="3612"/>
      <c r="V5" s="3630"/>
      <c r="W5" s="3630"/>
      <c r="X5" s="1340"/>
      <c r="Y5" s="3611"/>
      <c r="Z5" s="3612"/>
      <c r="AA5" s="3605"/>
      <c r="AB5" s="3605"/>
      <c r="AC5" s="3605"/>
    </row>
    <row r="6" spans="1:29" ht="14.25" thickBot="1">
      <c r="A6" s="148"/>
      <c r="B6" s="149"/>
      <c r="C6" s="3613" t="s">
        <v>1000</v>
      </c>
      <c r="D6" s="3614"/>
      <c r="E6" s="3615" t="s">
        <v>1000</v>
      </c>
      <c r="F6" s="3616"/>
      <c r="G6" s="3613" t="s">
        <v>1000</v>
      </c>
      <c r="H6" s="3614"/>
      <c r="I6" s="3613" t="s">
        <v>1000</v>
      </c>
      <c r="J6" s="3614"/>
      <c r="K6" s="152" t="s">
        <v>1001</v>
      </c>
      <c r="L6" s="2297"/>
      <c r="M6" s="2298"/>
      <c r="N6" s="2298"/>
      <c r="O6" s="2298"/>
      <c r="P6" s="3626"/>
      <c r="Q6" s="3627"/>
      <c r="R6" s="3611"/>
      <c r="S6" s="3612"/>
      <c r="T6" s="3628"/>
      <c r="U6" s="3629"/>
      <c r="V6" s="3630"/>
      <c r="W6" s="3630"/>
      <c r="X6" s="1340"/>
      <c r="Y6" s="3628"/>
      <c r="Z6" s="3629"/>
      <c r="AA6" s="3606"/>
      <c r="AB6" s="3606"/>
      <c r="AC6" s="3606"/>
    </row>
    <row r="7" spans="1:29" s="40" customFormat="1" ht="15" thickBot="1">
      <c r="A7" s="1014" t="s">
        <v>1002</v>
      </c>
      <c r="B7" s="1015"/>
      <c r="C7" s="1016">
        <f>'数据-取费表'!B2</f>
        <v>42921</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607" t="s">
        <v>1002</v>
      </c>
      <c r="Q7" s="3631"/>
      <c r="R7" s="1342" t="s">
        <v>115</v>
      </c>
      <c r="S7" s="1343">
        <f t="shared" ref="S7:S15" si="0">F7</f>
        <v>0</v>
      </c>
      <c r="T7" s="1342" t="s">
        <v>115</v>
      </c>
      <c r="U7" s="1343">
        <f t="shared" ref="U7:U15" si="1">H7</f>
        <v>0</v>
      </c>
      <c r="V7" s="1342" t="s">
        <v>115</v>
      </c>
      <c r="W7" s="1343">
        <f t="shared" ref="W7:W15" si="2">J7</f>
        <v>0</v>
      </c>
      <c r="X7" s="287"/>
      <c r="Y7" s="3607" t="s">
        <v>1002</v>
      </c>
      <c r="Z7" s="3608"/>
      <c r="AA7" s="1344" t="e">
        <f>D7/F7</f>
        <v>#DIV/0!</v>
      </c>
      <c r="AB7" s="1344" t="e">
        <f>D7/H7</f>
        <v>#DIV/0!</v>
      </c>
      <c r="AC7" s="1344" t="e">
        <f>D7/J7</f>
        <v>#DIV/0!</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607" t="s">
        <v>1003</v>
      </c>
      <c r="Q8" s="3608"/>
      <c r="R8" s="1342" t="s">
        <v>115</v>
      </c>
      <c r="S8" s="1343">
        <f t="shared" si="0"/>
        <v>0</v>
      </c>
      <c r="T8" s="1342" t="s">
        <v>115</v>
      </c>
      <c r="U8" s="1343">
        <f t="shared" si="1"/>
        <v>0</v>
      </c>
      <c r="V8" s="1342" t="s">
        <v>115</v>
      </c>
      <c r="W8" s="1343">
        <f t="shared" si="2"/>
        <v>0</v>
      </c>
      <c r="X8" s="287"/>
      <c r="Y8" s="3607" t="s">
        <v>1003</v>
      </c>
      <c r="Z8" s="3608"/>
      <c r="AA8" s="1344" t="e">
        <f t="shared" ref="AA8:AA19" si="3">D8/F8</f>
        <v>#DIV/0!</v>
      </c>
      <c r="AB8" s="1344" t="e">
        <f t="shared" ref="AB8:AB19" si="4">D8/H8</f>
        <v>#DIV/0!</v>
      </c>
      <c r="AC8" s="1344" t="e">
        <f t="shared" ref="AC8:AC19" si="5">D8/J8</f>
        <v>#DIV/0!</v>
      </c>
    </row>
    <row r="9" spans="1:29" s="40" customFormat="1" ht="14.25">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617" t="s">
        <v>67</v>
      </c>
      <c r="Q9" s="7" t="str">
        <f t="shared" ref="Q9:Q15" si="6">B9</f>
        <v>用途</v>
      </c>
      <c r="R9" s="1342" t="s">
        <v>65</v>
      </c>
      <c r="S9" s="1343">
        <f t="shared" si="0"/>
        <v>100</v>
      </c>
      <c r="T9" s="1342" t="s">
        <v>65</v>
      </c>
      <c r="U9" s="1343">
        <f t="shared" si="1"/>
        <v>100</v>
      </c>
      <c r="V9" s="1342" t="s">
        <v>65</v>
      </c>
      <c r="W9" s="1343">
        <f t="shared" si="2"/>
        <v>100</v>
      </c>
      <c r="X9" s="287"/>
      <c r="Y9" s="340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617"/>
      <c r="Q10" s="7" t="str">
        <f t="shared" si="6"/>
        <v>土地使用年限（年）</v>
      </c>
      <c r="R10" s="1342" t="s">
        <v>65</v>
      </c>
      <c r="S10" s="1343">
        <f t="shared" si="0"/>
        <v>100</v>
      </c>
      <c r="T10" s="1342" t="s">
        <v>65</v>
      </c>
      <c r="U10" s="1343">
        <f t="shared" si="1"/>
        <v>100</v>
      </c>
      <c r="V10" s="1342" t="s">
        <v>65</v>
      </c>
      <c r="W10" s="1343">
        <f t="shared" si="2"/>
        <v>100</v>
      </c>
      <c r="X10" s="287"/>
      <c r="Y10" s="340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617"/>
      <c r="Q11" s="7" t="str">
        <f t="shared" si="6"/>
        <v>容积率</v>
      </c>
      <c r="R11" s="1342" t="s">
        <v>104</v>
      </c>
      <c r="S11" s="1343" t="e">
        <f t="shared" si="0"/>
        <v>#N/A</v>
      </c>
      <c r="T11" s="1342" t="s">
        <v>104</v>
      </c>
      <c r="U11" s="1343" t="e">
        <f t="shared" si="1"/>
        <v>#N/A</v>
      </c>
      <c r="V11" s="1342" t="s">
        <v>104</v>
      </c>
      <c r="W11" s="1343" t="e">
        <f t="shared" si="2"/>
        <v>#N/A</v>
      </c>
      <c r="X11" s="287"/>
      <c r="Y11" s="340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617"/>
      <c r="Q12" s="7">
        <f t="shared" si="6"/>
        <v>111</v>
      </c>
      <c r="R12" s="1342" t="s">
        <v>104</v>
      </c>
      <c r="S12" s="1343">
        <f t="shared" si="0"/>
        <v>100</v>
      </c>
      <c r="T12" s="1342" t="s">
        <v>104</v>
      </c>
      <c r="U12" s="1343">
        <f t="shared" si="1"/>
        <v>100</v>
      </c>
      <c r="V12" s="1342" t="s">
        <v>104</v>
      </c>
      <c r="W12" s="1343">
        <f t="shared" si="2"/>
        <v>100</v>
      </c>
      <c r="X12" s="287"/>
      <c r="Y12" s="3404"/>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617"/>
      <c r="Q13" s="7">
        <f t="shared" si="6"/>
        <v>111</v>
      </c>
      <c r="R13" s="1342" t="s">
        <v>104</v>
      </c>
      <c r="S13" s="1343">
        <f t="shared" si="0"/>
        <v>100</v>
      </c>
      <c r="T13" s="1342" t="s">
        <v>104</v>
      </c>
      <c r="U13" s="1343">
        <f t="shared" si="1"/>
        <v>100</v>
      </c>
      <c r="V13" s="1342" t="s">
        <v>104</v>
      </c>
      <c r="W13" s="1343">
        <f t="shared" si="2"/>
        <v>100</v>
      </c>
      <c r="X13" s="287"/>
      <c r="Y13" s="3404"/>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617"/>
      <c r="Q14" s="7">
        <f t="shared" si="6"/>
        <v>111</v>
      </c>
      <c r="R14" s="1342" t="s">
        <v>104</v>
      </c>
      <c r="S14" s="1343">
        <f t="shared" si="0"/>
        <v>100</v>
      </c>
      <c r="T14" s="1342" t="s">
        <v>104</v>
      </c>
      <c r="U14" s="1343">
        <f t="shared" si="1"/>
        <v>100</v>
      </c>
      <c r="V14" s="1342" t="s">
        <v>104</v>
      </c>
      <c r="W14" s="1343">
        <f t="shared" si="2"/>
        <v>100</v>
      </c>
      <c r="X14" s="287"/>
      <c r="Y14" s="3404"/>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644" t="s">
        <v>69</v>
      </c>
      <c r="Q15" s="1351" t="str">
        <f t="shared" si="6"/>
        <v>居住社区成熟度</v>
      </c>
      <c r="R15" s="1352" t="s">
        <v>104</v>
      </c>
      <c r="S15" s="1353">
        <f t="shared" si="0"/>
        <v>100</v>
      </c>
      <c r="T15" s="1352" t="s">
        <v>104</v>
      </c>
      <c r="U15" s="1353">
        <f t="shared" si="1"/>
        <v>100</v>
      </c>
      <c r="V15" s="1352" t="s">
        <v>104</v>
      </c>
      <c r="W15" s="1353">
        <f t="shared" si="2"/>
        <v>100</v>
      </c>
      <c r="X15" s="1340"/>
      <c r="Y15" s="3637"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645"/>
      <c r="Q16" s="1351"/>
      <c r="R16" s="1352"/>
      <c r="S16" s="1353"/>
      <c r="T16" s="1352"/>
      <c r="U16" s="1353"/>
      <c r="V16" s="1352"/>
      <c r="W16" s="1353"/>
      <c r="X16" s="1340"/>
      <c r="Y16" s="363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645"/>
      <c r="Q17" s="1351" t="str">
        <f>B17</f>
        <v>交通便捷度</v>
      </c>
      <c r="R17" s="1352" t="s">
        <v>104</v>
      </c>
      <c r="S17" s="1353">
        <f>F17</f>
        <v>100</v>
      </c>
      <c r="T17" s="1352" t="s">
        <v>104</v>
      </c>
      <c r="U17" s="1353">
        <f>H17</f>
        <v>100</v>
      </c>
      <c r="V17" s="1352" t="s">
        <v>104</v>
      </c>
      <c r="W17" s="1353">
        <f>J17</f>
        <v>100</v>
      </c>
      <c r="X17" s="1340"/>
      <c r="Y17" s="3638"/>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645"/>
      <c r="Q18" s="1351"/>
      <c r="R18" s="1352"/>
      <c r="S18" s="1353"/>
      <c r="T18" s="1352"/>
      <c r="U18" s="1353"/>
      <c r="V18" s="1352"/>
      <c r="W18" s="1353"/>
      <c r="X18" s="1340"/>
      <c r="Y18" s="3638"/>
      <c r="Z18" s="1354"/>
      <c r="AA18" s="1355">
        <v>1</v>
      </c>
      <c r="AB18" s="1355">
        <v>1</v>
      </c>
      <c r="AC18" s="1355">
        <v>1</v>
      </c>
    </row>
    <row r="19" spans="1:29" ht="40.5">
      <c r="A19" s="151"/>
      <c r="B19" s="1356" t="s">
        <v>2645</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645"/>
      <c r="Q19" s="1351" t="str">
        <f>B19</f>
        <v>公共配套设施</v>
      </c>
      <c r="R19" s="1352" t="s">
        <v>104</v>
      </c>
      <c r="S19" s="1353">
        <f>F19</f>
        <v>100</v>
      </c>
      <c r="T19" s="1352" t="s">
        <v>104</v>
      </c>
      <c r="U19" s="1353">
        <f>H19</f>
        <v>100</v>
      </c>
      <c r="V19" s="1352" t="s">
        <v>104</v>
      </c>
      <c r="W19" s="1353">
        <f>J19</f>
        <v>100</v>
      </c>
      <c r="X19" s="1340"/>
      <c r="Y19" s="3638"/>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645"/>
      <c r="Q20" s="1351"/>
      <c r="R20" s="1352"/>
      <c r="S20" s="1353"/>
      <c r="T20" s="1352"/>
      <c r="U20" s="1353"/>
      <c r="V20" s="1352"/>
      <c r="W20" s="1353"/>
      <c r="X20" s="1340"/>
      <c r="Y20" s="3638"/>
      <c r="Z20" s="1354"/>
      <c r="AA20" s="1355">
        <v>1</v>
      </c>
      <c r="AB20" s="1355">
        <v>1</v>
      </c>
      <c r="AC20" s="1355">
        <v>1</v>
      </c>
    </row>
    <row r="21" spans="1:29" ht="27">
      <c r="A21" s="151"/>
      <c r="B21" s="1412" t="s">
        <v>2656</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645"/>
      <c r="Q21" s="2748" t="str">
        <f>B21</f>
        <v>基础设施水平</v>
      </c>
      <c r="R21" s="1352" t="s">
        <v>65</v>
      </c>
      <c r="S21" s="1353">
        <f>F21</f>
        <v>100</v>
      </c>
      <c r="T21" s="1352" t="s">
        <v>65</v>
      </c>
      <c r="U21" s="1353">
        <f>H21</f>
        <v>100</v>
      </c>
      <c r="V21" s="1352" t="s">
        <v>65</v>
      </c>
      <c r="W21" s="1353">
        <f>J21</f>
        <v>100</v>
      </c>
      <c r="X21" s="2750"/>
      <c r="Y21" s="3638"/>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645"/>
      <c r="Q22" s="2748"/>
      <c r="R22" s="1352"/>
      <c r="S22" s="1353"/>
      <c r="T22" s="1352"/>
      <c r="U22" s="1353"/>
      <c r="V22" s="1352"/>
      <c r="W22" s="1353"/>
      <c r="X22" s="2750"/>
      <c r="Y22" s="3638"/>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645"/>
      <c r="Q23" s="1351" t="str">
        <f>B23</f>
        <v>自然及人文环境</v>
      </c>
      <c r="R23" s="1352" t="s">
        <v>104</v>
      </c>
      <c r="S23" s="1353">
        <f>F23</f>
        <v>100</v>
      </c>
      <c r="T23" s="1352" t="s">
        <v>104</v>
      </c>
      <c r="U23" s="1353">
        <f>H23</f>
        <v>100</v>
      </c>
      <c r="V23" s="1352" t="s">
        <v>104</v>
      </c>
      <c r="W23" s="1353">
        <f>J23</f>
        <v>100</v>
      </c>
      <c r="X23" s="1340"/>
      <c r="Y23" s="3638"/>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645"/>
      <c r="Q24" s="1351"/>
      <c r="R24" s="1352"/>
      <c r="S24" s="1353"/>
      <c r="T24" s="1352"/>
      <c r="U24" s="1353"/>
      <c r="V24" s="1352"/>
      <c r="W24" s="1353"/>
      <c r="X24" s="1340"/>
      <c r="Y24" s="3638"/>
      <c r="Z24" s="1354"/>
      <c r="AA24" s="1355">
        <v>1</v>
      </c>
      <c r="AB24" s="1355">
        <v>1</v>
      </c>
      <c r="AC24" s="1355">
        <v>1</v>
      </c>
    </row>
    <row r="25" spans="1:29" ht="15">
      <c r="A25" s="151"/>
      <c r="B25" s="12" t="s">
        <v>2305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64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3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645"/>
      <c r="Q26" s="1351" t="str">
        <f t="shared" si="11"/>
        <v>朝向</v>
      </c>
      <c r="R26" s="1352" t="s">
        <v>104</v>
      </c>
      <c r="S26" s="1353">
        <f t="shared" si="12"/>
        <v>100</v>
      </c>
      <c r="T26" s="1352" t="s">
        <v>104</v>
      </c>
      <c r="U26" s="1353">
        <f t="shared" si="13"/>
        <v>100</v>
      </c>
      <c r="V26" s="1352" t="s">
        <v>104</v>
      </c>
      <c r="W26" s="1353">
        <f t="shared" si="14"/>
        <v>100</v>
      </c>
      <c r="X26" s="1340"/>
      <c r="Y26" s="3638"/>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645"/>
      <c r="Q27" s="7">
        <f t="shared" si="11"/>
        <v>111</v>
      </c>
      <c r="R27" s="1342" t="s">
        <v>104</v>
      </c>
      <c r="S27" s="1343">
        <f t="shared" si="12"/>
        <v>100</v>
      </c>
      <c r="T27" s="1342" t="s">
        <v>104</v>
      </c>
      <c r="U27" s="1343">
        <f t="shared" si="13"/>
        <v>100</v>
      </c>
      <c r="V27" s="1342" t="s">
        <v>104</v>
      </c>
      <c r="W27" s="1343">
        <f t="shared" si="14"/>
        <v>100</v>
      </c>
      <c r="X27" s="287"/>
      <c r="Y27" s="3638"/>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645"/>
      <c r="Q28" s="1351">
        <f t="shared" si="11"/>
        <v>111</v>
      </c>
      <c r="R28" s="1352" t="s">
        <v>104</v>
      </c>
      <c r="S28" s="1353">
        <f t="shared" si="12"/>
        <v>100</v>
      </c>
      <c r="T28" s="1352" t="s">
        <v>104</v>
      </c>
      <c r="U28" s="1353">
        <f t="shared" si="13"/>
        <v>100</v>
      </c>
      <c r="V28" s="1352" t="s">
        <v>104</v>
      </c>
      <c r="W28" s="1353">
        <f t="shared" si="14"/>
        <v>100</v>
      </c>
      <c r="X28" s="1340"/>
      <c r="Y28" s="3638"/>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645"/>
      <c r="Q29" s="1351">
        <f t="shared" si="11"/>
        <v>111</v>
      </c>
      <c r="R29" s="1352" t="s">
        <v>104</v>
      </c>
      <c r="S29" s="1353">
        <f t="shared" si="12"/>
        <v>100</v>
      </c>
      <c r="T29" s="1352" t="s">
        <v>104</v>
      </c>
      <c r="U29" s="1353">
        <f t="shared" si="13"/>
        <v>100</v>
      </c>
      <c r="V29" s="1352" t="s">
        <v>104</v>
      </c>
      <c r="W29" s="1353">
        <f t="shared" si="14"/>
        <v>100</v>
      </c>
      <c r="X29" s="1340"/>
      <c r="Y29" s="3638"/>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645"/>
      <c r="Q30" s="1351">
        <f t="shared" si="11"/>
        <v>111</v>
      </c>
      <c r="R30" s="1352" t="s">
        <v>104</v>
      </c>
      <c r="S30" s="1353">
        <f t="shared" si="12"/>
        <v>100</v>
      </c>
      <c r="T30" s="1352" t="s">
        <v>104</v>
      </c>
      <c r="U30" s="1353">
        <f t="shared" si="13"/>
        <v>100</v>
      </c>
      <c r="V30" s="1352" t="s">
        <v>104</v>
      </c>
      <c r="W30" s="1353">
        <f t="shared" si="14"/>
        <v>100</v>
      </c>
      <c r="X30" s="1340"/>
      <c r="Y30" s="3638"/>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645"/>
      <c r="Q31" s="1351">
        <f t="shared" si="11"/>
        <v>111</v>
      </c>
      <c r="R31" s="1352" t="s">
        <v>104</v>
      </c>
      <c r="S31" s="1353">
        <f t="shared" si="12"/>
        <v>100</v>
      </c>
      <c r="T31" s="1352" t="s">
        <v>104</v>
      </c>
      <c r="U31" s="1353">
        <f t="shared" si="13"/>
        <v>100</v>
      </c>
      <c r="V31" s="1352" t="s">
        <v>104</v>
      </c>
      <c r="W31" s="1353">
        <f t="shared" si="14"/>
        <v>100</v>
      </c>
      <c r="X31" s="1340"/>
      <c r="Y31" s="3638"/>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639" t="s">
        <v>70</v>
      </c>
      <c r="Q32" s="1351" t="str">
        <f t="shared" si="11"/>
        <v>建筑类型</v>
      </c>
      <c r="R32" s="1352" t="s">
        <v>104</v>
      </c>
      <c r="S32" s="1353">
        <f t="shared" si="12"/>
        <v>100</v>
      </c>
      <c r="T32" s="1352" t="s">
        <v>104</v>
      </c>
      <c r="U32" s="1353">
        <f t="shared" si="13"/>
        <v>100</v>
      </c>
      <c r="V32" s="1352" t="s">
        <v>104</v>
      </c>
      <c r="W32" s="1353">
        <f t="shared" si="14"/>
        <v>100</v>
      </c>
      <c r="X32" s="1340"/>
      <c r="Y32" s="3642"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640"/>
      <c r="Q33" s="1359" t="str">
        <f t="shared" si="11"/>
        <v>项目建筑规模</v>
      </c>
      <c r="R33" s="1360" t="s">
        <v>104</v>
      </c>
      <c r="S33" s="1361" t="e">
        <f t="shared" si="12"/>
        <v>#N/A</v>
      </c>
      <c r="T33" s="1360" t="s">
        <v>104</v>
      </c>
      <c r="U33" s="1361" t="e">
        <f t="shared" si="13"/>
        <v>#N/A</v>
      </c>
      <c r="V33" s="1360" t="s">
        <v>104</v>
      </c>
      <c r="W33" s="1361" t="e">
        <f t="shared" si="14"/>
        <v>#N/A</v>
      </c>
      <c r="X33" s="1362"/>
      <c r="Y33" s="364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640"/>
      <c r="Q34" s="1351" t="str">
        <f t="shared" si="11"/>
        <v>建筑结构</v>
      </c>
      <c r="R34" s="1352" t="s">
        <v>104</v>
      </c>
      <c r="S34" s="1353">
        <f t="shared" si="12"/>
        <v>100</v>
      </c>
      <c r="T34" s="1352" t="s">
        <v>104</v>
      </c>
      <c r="U34" s="1353">
        <f t="shared" si="13"/>
        <v>100</v>
      </c>
      <c r="V34" s="1352" t="s">
        <v>104</v>
      </c>
      <c r="W34" s="1353">
        <f t="shared" si="14"/>
        <v>100</v>
      </c>
      <c r="X34" s="1340"/>
      <c r="Y34" s="364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640"/>
      <c r="Q35" s="1351" t="str">
        <f t="shared" si="11"/>
        <v>建筑品质</v>
      </c>
      <c r="R35" s="1352" t="s">
        <v>104</v>
      </c>
      <c r="S35" s="1353">
        <f t="shared" si="12"/>
        <v>100</v>
      </c>
      <c r="T35" s="1352" t="s">
        <v>104</v>
      </c>
      <c r="U35" s="1353">
        <f t="shared" si="13"/>
        <v>100</v>
      </c>
      <c r="V35" s="1352" t="s">
        <v>104</v>
      </c>
      <c r="W35" s="1353">
        <f t="shared" si="14"/>
        <v>100</v>
      </c>
      <c r="X35" s="1340"/>
      <c r="Y35" s="364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640"/>
      <c r="Q36" s="1351" t="str">
        <f t="shared" si="11"/>
        <v>公共部分装修</v>
      </c>
      <c r="R36" s="1352" t="s">
        <v>104</v>
      </c>
      <c r="S36" s="1353">
        <f t="shared" si="12"/>
        <v>100</v>
      </c>
      <c r="T36" s="1352" t="s">
        <v>104</v>
      </c>
      <c r="U36" s="1353">
        <f t="shared" si="13"/>
        <v>100</v>
      </c>
      <c r="V36" s="1352" t="s">
        <v>104</v>
      </c>
      <c r="W36" s="1353">
        <f t="shared" si="14"/>
        <v>100</v>
      </c>
      <c r="X36" s="1340"/>
      <c r="Y36" s="364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640"/>
      <c r="Q37" s="7" t="str">
        <f t="shared" si="11"/>
        <v>成新度</v>
      </c>
      <c r="R37" s="1342" t="s">
        <v>104</v>
      </c>
      <c r="S37" s="1343" t="e">
        <f t="shared" si="12"/>
        <v>#N/A</v>
      </c>
      <c r="T37" s="1342" t="s">
        <v>104</v>
      </c>
      <c r="U37" s="1343" t="e">
        <f t="shared" si="13"/>
        <v>#N/A</v>
      </c>
      <c r="V37" s="1342" t="s">
        <v>104</v>
      </c>
      <c r="W37" s="1343" t="e">
        <f t="shared" si="14"/>
        <v>#N/A</v>
      </c>
      <c r="X37" s="287"/>
      <c r="Y37" s="364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640" t="s">
        <v>70</v>
      </c>
      <c r="Q38" s="1351" t="str">
        <f t="shared" si="11"/>
        <v>物业管理</v>
      </c>
      <c r="R38" s="1352" t="s">
        <v>104</v>
      </c>
      <c r="S38" s="1353">
        <f t="shared" si="12"/>
        <v>100</v>
      </c>
      <c r="T38" s="1352" t="s">
        <v>104</v>
      </c>
      <c r="U38" s="1353">
        <f t="shared" si="13"/>
        <v>100</v>
      </c>
      <c r="V38" s="1352" t="s">
        <v>104</v>
      </c>
      <c r="W38" s="1353">
        <f t="shared" si="14"/>
        <v>100</v>
      </c>
      <c r="X38" s="1340"/>
      <c r="Y38" s="3642" t="s">
        <v>70</v>
      </c>
      <c r="Z38" s="1354" t="str">
        <f t="shared" si="18"/>
        <v>物业管理</v>
      </c>
      <c r="AA38" s="1355">
        <f t="shared" si="15"/>
        <v>1</v>
      </c>
      <c r="AB38" s="1355">
        <f t="shared" si="16"/>
        <v>1</v>
      </c>
      <c r="AC38" s="1355">
        <f t="shared" si="17"/>
        <v>1</v>
      </c>
    </row>
    <row r="39" spans="1:29" ht="15">
      <c r="A39" s="161"/>
      <c r="B39" s="12" t="s">
        <v>2657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640"/>
      <c r="Q39" s="1351" t="str">
        <f t="shared" si="11"/>
        <v>市政基础设施</v>
      </c>
      <c r="R39" s="1352" t="s">
        <v>104</v>
      </c>
      <c r="S39" s="1353">
        <f t="shared" si="12"/>
        <v>100</v>
      </c>
      <c r="T39" s="1352" t="s">
        <v>104</v>
      </c>
      <c r="U39" s="1353">
        <f t="shared" si="13"/>
        <v>100</v>
      </c>
      <c r="V39" s="1352" t="s">
        <v>104</v>
      </c>
      <c r="W39" s="1353">
        <f t="shared" si="14"/>
        <v>100</v>
      </c>
      <c r="X39" s="1340"/>
      <c r="Y39" s="364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640"/>
      <c r="Q40" s="1351" t="str">
        <f t="shared" si="11"/>
        <v>房型</v>
      </c>
      <c r="R40" s="1352" t="s">
        <v>104</v>
      </c>
      <c r="S40" s="1353">
        <f t="shared" si="12"/>
        <v>100</v>
      </c>
      <c r="T40" s="1352" t="s">
        <v>104</v>
      </c>
      <c r="U40" s="1353">
        <f t="shared" si="13"/>
        <v>100</v>
      </c>
      <c r="V40" s="1352" t="s">
        <v>104</v>
      </c>
      <c r="W40" s="1353">
        <f t="shared" si="14"/>
        <v>100</v>
      </c>
      <c r="X40" s="1340"/>
      <c r="Y40" s="3642"/>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640"/>
      <c r="Q41" s="1359" t="str">
        <f t="shared" si="11"/>
        <v>单套/主力户型建筑面积</v>
      </c>
      <c r="R41" s="1360" t="s">
        <v>104</v>
      </c>
      <c r="S41" s="1361">
        <f t="shared" si="12"/>
        <v>100</v>
      </c>
      <c r="T41" s="1360" t="s">
        <v>104</v>
      </c>
      <c r="U41" s="1361">
        <f t="shared" si="13"/>
        <v>100</v>
      </c>
      <c r="V41" s="1360" t="s">
        <v>104</v>
      </c>
      <c r="W41" s="1361">
        <f t="shared" si="14"/>
        <v>100</v>
      </c>
      <c r="X41" s="1362"/>
      <c r="Y41" s="364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640"/>
      <c r="Q42" s="1351" t="str">
        <f t="shared" si="11"/>
        <v>内部装修</v>
      </c>
      <c r="R42" s="1352" t="s">
        <v>104</v>
      </c>
      <c r="S42" s="1353">
        <f t="shared" si="12"/>
        <v>100</v>
      </c>
      <c r="T42" s="1352" t="s">
        <v>104</v>
      </c>
      <c r="U42" s="1353">
        <f t="shared" si="13"/>
        <v>100</v>
      </c>
      <c r="V42" s="1352" t="s">
        <v>104</v>
      </c>
      <c r="W42" s="1353">
        <f t="shared" si="14"/>
        <v>100</v>
      </c>
      <c r="X42" s="1340"/>
      <c r="Y42" s="3642"/>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640"/>
      <c r="Q43" s="1351" t="str">
        <f t="shared" si="11"/>
        <v>内部装修维护情况</v>
      </c>
      <c r="R43" s="1352" t="s">
        <v>104</v>
      </c>
      <c r="S43" s="1353">
        <f t="shared" si="12"/>
        <v>100</v>
      </c>
      <c r="T43" s="1352" t="s">
        <v>104</v>
      </c>
      <c r="U43" s="1353">
        <f t="shared" si="13"/>
        <v>100</v>
      </c>
      <c r="V43" s="1352" t="s">
        <v>104</v>
      </c>
      <c r="W43" s="1353">
        <f t="shared" si="14"/>
        <v>100</v>
      </c>
      <c r="X43" s="1340"/>
      <c r="Y43" s="3642"/>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640"/>
      <c r="Q44" s="7">
        <f t="shared" si="11"/>
        <v>111</v>
      </c>
      <c r="R44" s="1342" t="s">
        <v>104</v>
      </c>
      <c r="S44" s="1343">
        <f t="shared" si="12"/>
        <v>100</v>
      </c>
      <c r="T44" s="1342" t="s">
        <v>104</v>
      </c>
      <c r="U44" s="1343">
        <f t="shared" si="13"/>
        <v>100</v>
      </c>
      <c r="V44" s="1342" t="s">
        <v>104</v>
      </c>
      <c r="W44" s="1343">
        <f t="shared" si="14"/>
        <v>100</v>
      </c>
      <c r="X44" s="287"/>
      <c r="Y44" s="3642"/>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640"/>
      <c r="Q45" s="1351">
        <f t="shared" si="11"/>
        <v>111</v>
      </c>
      <c r="R45" s="1352" t="s">
        <v>104</v>
      </c>
      <c r="S45" s="1353">
        <f t="shared" si="12"/>
        <v>100</v>
      </c>
      <c r="T45" s="1352" t="s">
        <v>104</v>
      </c>
      <c r="U45" s="1353">
        <f t="shared" si="13"/>
        <v>100</v>
      </c>
      <c r="V45" s="1352" t="s">
        <v>104</v>
      </c>
      <c r="W45" s="1353">
        <f t="shared" si="14"/>
        <v>100</v>
      </c>
      <c r="X45" s="1340"/>
      <c r="Y45" s="3642"/>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641"/>
      <c r="Q46" s="1351">
        <f t="shared" si="11"/>
        <v>111</v>
      </c>
      <c r="R46" s="1352" t="s">
        <v>103</v>
      </c>
      <c r="S46" s="1353">
        <f t="shared" si="12"/>
        <v>100</v>
      </c>
      <c r="T46" s="1352" t="s">
        <v>103</v>
      </c>
      <c r="U46" s="1353">
        <f t="shared" si="13"/>
        <v>100</v>
      </c>
      <c r="V46" s="1352" t="s">
        <v>103</v>
      </c>
      <c r="W46" s="1353">
        <f t="shared" si="14"/>
        <v>100</v>
      </c>
      <c r="X46" s="1340"/>
      <c r="Y46" s="3643"/>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635" t="str">
        <f>A47</f>
        <v>成交单价（元/平方米）</v>
      </c>
      <c r="Q47" s="3635"/>
      <c r="R47" s="3636">
        <f>E47</f>
        <v>0</v>
      </c>
      <c r="S47" s="3636"/>
      <c r="T47" s="3636">
        <f>G47</f>
        <v>0</v>
      </c>
      <c r="U47" s="3636"/>
      <c r="V47" s="3636">
        <f>I47</f>
        <v>0</v>
      </c>
      <c r="W47" s="3636"/>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365"/>
      <c r="Y48" s="1365"/>
      <c r="Z48" s="1365"/>
      <c r="AA48" s="1365"/>
      <c r="AB48" s="1365"/>
      <c r="AC48" s="1365"/>
    </row>
    <row r="49" spans="1:29" ht="15.75" thickBot="1">
      <c r="A49" s="115" t="s">
        <v>3032</v>
      </c>
      <c r="B49" s="116"/>
      <c r="C49" s="2847" t="e">
        <f>R49</f>
        <v>#DIV/0!</v>
      </c>
      <c r="D49" s="2848"/>
      <c r="E49" s="2848"/>
      <c r="F49" s="2848"/>
      <c r="G49" s="2848"/>
      <c r="H49" s="2848"/>
      <c r="I49" s="2848"/>
      <c r="J49" s="2848"/>
      <c r="K49" s="1368"/>
      <c r="L49" s="2305"/>
      <c r="M49" s="2306"/>
      <c r="N49" s="2306"/>
      <c r="O49" s="2306"/>
      <c r="P49" s="3632" t="str">
        <f>A49</f>
        <v>估价对象XX用房的比较价值（楼面单价，元/平方米）</v>
      </c>
      <c r="Q49" s="3633"/>
      <c r="R49" s="3634" t="e">
        <f>IF(F1="售价",ROUND(AVERAGE(R48:V48),0),ROUND(AVERAGE(R48:V48),1))</f>
        <v>#DIV/0!</v>
      </c>
      <c r="S49" s="3634"/>
      <c r="T49" s="3634"/>
      <c r="U49" s="3634"/>
      <c r="V49" s="3634"/>
      <c r="W49" s="3634"/>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2810</v>
      </c>
      <c r="B58" s="849"/>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2659</v>
      </c>
      <c r="C82" s="177" t="s">
        <v>2660</v>
      </c>
      <c r="D82" s="177" t="s">
        <v>2664</v>
      </c>
      <c r="E82" s="177" t="s">
        <v>2661</v>
      </c>
      <c r="F82" s="177" t="s">
        <v>2662</v>
      </c>
      <c r="G82" s="177" t="s">
        <v>2663</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2651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2307</v>
      </c>
    </row>
    <row r="137" spans="1:17" ht="14.25">
      <c r="B137" s="2144" t="s">
        <v>2308</v>
      </c>
      <c r="C137" s="2145"/>
      <c r="D137" s="2145"/>
      <c r="E137" s="2145"/>
      <c r="F137" s="2145"/>
      <c r="G137" s="2146"/>
      <c r="H137" s="2147"/>
      <c r="I137" s="2148" t="s">
        <v>2309</v>
      </c>
      <c r="J137" s="2145"/>
      <c r="K137" s="2149"/>
    </row>
    <row r="138" spans="1:17" ht="14.25">
      <c r="B138" s="2150"/>
      <c r="C138" s="1779" t="s">
        <v>2310</v>
      </c>
      <c r="D138" s="1779" t="s">
        <v>2311</v>
      </c>
      <c r="E138" s="2151" t="s">
        <v>2312</v>
      </c>
      <c r="F138" s="2152" t="s">
        <v>2313</v>
      </c>
      <c r="G138" s="1779" t="s">
        <v>2311</v>
      </c>
      <c r="H138" s="2153" t="s">
        <v>2312</v>
      </c>
      <c r="I138" s="2154"/>
      <c r="J138" s="1779" t="s">
        <v>2314</v>
      </c>
      <c r="K138" s="2153" t="s">
        <v>2315</v>
      </c>
    </row>
    <row r="139" spans="1:17" ht="15">
      <c r="B139" s="2155">
        <v>6</v>
      </c>
      <c r="C139" s="2156">
        <v>96</v>
      </c>
      <c r="D139" s="2157" t="s">
        <v>2316</v>
      </c>
      <c r="E139" s="2158">
        <v>100</v>
      </c>
      <c r="F139" s="2159">
        <v>102.5</v>
      </c>
      <c r="G139" s="2157" t="s">
        <v>2316</v>
      </c>
      <c r="H139" s="2160">
        <v>105</v>
      </c>
      <c r="I139" s="2161" t="s">
        <v>2317</v>
      </c>
      <c r="J139" s="2156">
        <v>20</v>
      </c>
      <c r="K139" s="2162">
        <f>C145/(J139-2)</f>
        <v>4.0555555555555553E-3</v>
      </c>
    </row>
    <row r="140" spans="1:17" ht="15">
      <c r="B140" s="2163">
        <v>5</v>
      </c>
      <c r="C140" s="2164">
        <v>100</v>
      </c>
      <c r="D140" s="2165"/>
      <c r="E140" s="2166"/>
      <c r="F140" s="2167">
        <v>102</v>
      </c>
      <c r="G140" s="2165"/>
      <c r="H140" s="2168"/>
      <c r="I140" s="2169" t="s">
        <v>2318</v>
      </c>
      <c r="J140" s="647">
        <f>ROUNDUP((J139-1)/2,0)</f>
        <v>10</v>
      </c>
      <c r="K140" s="2170">
        <v>100</v>
      </c>
    </row>
    <row r="141" spans="1:17" ht="15">
      <c r="B141" s="2163">
        <v>4</v>
      </c>
      <c r="C141" s="2164">
        <v>102</v>
      </c>
      <c r="D141" s="2165"/>
      <c r="E141" s="2166"/>
      <c r="F141" s="2167">
        <v>101.5</v>
      </c>
      <c r="G141" s="2165"/>
      <c r="H141" s="2168"/>
      <c r="I141" s="2169" t="s">
        <v>2319</v>
      </c>
      <c r="J141" s="647">
        <v>1</v>
      </c>
      <c r="K141" s="2171">
        <f>ROUND(100+(J141-J140)*K139*100,1)</f>
        <v>96.4</v>
      </c>
    </row>
    <row r="142" spans="1:17" ht="15">
      <c r="B142" s="2163">
        <v>3</v>
      </c>
      <c r="C142" s="2164">
        <v>103</v>
      </c>
      <c r="D142" s="2165"/>
      <c r="E142" s="2166"/>
      <c r="F142" s="2167">
        <v>101</v>
      </c>
      <c r="G142" s="2165"/>
      <c r="H142" s="2168"/>
      <c r="I142" s="2169" t="s">
        <v>2320</v>
      </c>
      <c r="J142" s="647">
        <f>J139</f>
        <v>20</v>
      </c>
      <c r="K142" s="2172">
        <v>95</v>
      </c>
    </row>
    <row r="143" spans="1:17" ht="15">
      <c r="B143" s="2163">
        <v>2</v>
      </c>
      <c r="C143" s="2164">
        <v>100</v>
      </c>
      <c r="D143" s="2165"/>
      <c r="E143" s="2166"/>
      <c r="F143" s="2167">
        <v>100.5</v>
      </c>
      <c r="G143" s="2165"/>
      <c r="H143" s="2168"/>
      <c r="I143" s="2169" t="s">
        <v>2321</v>
      </c>
      <c r="J143" s="2164">
        <v>15</v>
      </c>
      <c r="K143" s="2171">
        <f>ROUND(100+(J143-J140)*K139*100,1)</f>
        <v>102</v>
      </c>
    </row>
    <row r="144" spans="1:17" ht="15">
      <c r="B144" s="2163">
        <v>1</v>
      </c>
      <c r="C144" s="2164">
        <v>98</v>
      </c>
      <c r="D144" s="1160" t="s">
        <v>2322</v>
      </c>
      <c r="E144" s="2166">
        <v>102</v>
      </c>
      <c r="F144" s="2173">
        <v>100</v>
      </c>
      <c r="G144" s="1160" t="s">
        <v>2322</v>
      </c>
      <c r="H144" s="2168">
        <v>105</v>
      </c>
      <c r="I144" s="2169" t="s">
        <v>2321</v>
      </c>
      <c r="J144" s="2164">
        <v>18</v>
      </c>
      <c r="K144" s="2171">
        <f>ROUND(100+(J144-J140)*K139*100,1)</f>
        <v>103.2</v>
      </c>
    </row>
    <row r="145" spans="2:11" ht="15.75" thickBot="1">
      <c r="B145" s="2174" t="s">
        <v>2323</v>
      </c>
      <c r="C145" s="2175">
        <f>ROUND(MAX(C139:C144)/MIN(C139:C144)-1,3)</f>
        <v>7.2999999999999995E-2</v>
      </c>
      <c r="D145" s="2176"/>
      <c r="E145" s="2177"/>
      <c r="F145" s="2178" t="s">
        <v>2324</v>
      </c>
      <c r="G145" s="2179"/>
      <c r="H145" s="2180"/>
      <c r="I145" s="2181" t="s">
        <v>2325</v>
      </c>
      <c r="J145" s="2182">
        <v>8</v>
      </c>
      <c r="K145" s="2183">
        <f>ROUND(100+(J145-J140)*K139*100,1)</f>
        <v>99.2</v>
      </c>
    </row>
    <row r="147" spans="2:11">
      <c r="B147" s="2143" t="s">
        <v>2333</v>
      </c>
    </row>
    <row r="148" spans="2:11">
      <c r="B148" s="2143" t="s">
        <v>2334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9" t="e">
        <f ca="1">IF(C2="——",ROUND(C49*D3/10000,0),ROUND(C49*D3/10000,0)-D2)</f>
        <v>#DIV/0!</v>
      </c>
      <c r="C2" s="3102"/>
      <c r="D2" s="2726" t="e">
        <f ca="1">SUMIF(INDIRECT("'"&amp;F2&amp;"'"&amp;"!A:A"),"承租人权益价值",INDIRECT("'"&amp;F2&amp;"'"&amp;"!c:c"))</f>
        <v>#REF!</v>
      </c>
      <c r="E2" s="3103" t="s">
        <v>872</v>
      </c>
      <c r="F2" s="3104"/>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20083.5</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618" t="s">
        <v>54</v>
      </c>
      <c r="D4" s="3619"/>
      <c r="E4" s="3620" t="s">
        <v>55</v>
      </c>
      <c r="F4" s="3621"/>
      <c r="G4" s="3618" t="s">
        <v>56</v>
      </c>
      <c r="H4" s="3619"/>
      <c r="I4" s="3618" t="s">
        <v>57</v>
      </c>
      <c r="J4" s="3619"/>
      <c r="K4" s="187" t="s">
        <v>58</v>
      </c>
      <c r="L4" s="2297"/>
      <c r="M4" s="2298"/>
      <c r="N4" s="2298"/>
      <c r="O4" s="2298"/>
      <c r="P4" s="3622" t="s">
        <v>53</v>
      </c>
      <c r="Q4" s="3623"/>
      <c r="R4" s="3609" t="s">
        <v>55</v>
      </c>
      <c r="S4" s="3610"/>
      <c r="T4" s="3609" t="s">
        <v>56</v>
      </c>
      <c r="U4" s="3610"/>
      <c r="V4" s="3630" t="s">
        <v>57</v>
      </c>
      <c r="W4" s="3630"/>
      <c r="X4" s="1340"/>
      <c r="Y4" s="3609" t="s">
        <v>53</v>
      </c>
      <c r="Z4" s="3610"/>
      <c r="AA4" s="3604" t="s">
        <v>55</v>
      </c>
      <c r="AB4" s="3630" t="s">
        <v>56</v>
      </c>
      <c r="AC4" s="3604" t="s">
        <v>57</v>
      </c>
    </row>
    <row r="5" spans="1:29">
      <c r="A5" s="146"/>
      <c r="B5" s="147"/>
      <c r="C5" s="3568" t="s">
        <v>59</v>
      </c>
      <c r="D5" s="3569"/>
      <c r="E5" s="3555" t="s">
        <v>60</v>
      </c>
      <c r="F5" s="3556"/>
      <c r="G5" s="3568" t="s">
        <v>61</v>
      </c>
      <c r="H5" s="3569"/>
      <c r="I5" s="3568" t="s">
        <v>62</v>
      </c>
      <c r="J5" s="3569"/>
      <c r="K5" s="187"/>
      <c r="L5" s="2297"/>
      <c r="M5" s="2298"/>
      <c r="N5" s="2298"/>
      <c r="O5" s="2298"/>
      <c r="P5" s="3624"/>
      <c r="Q5" s="3625"/>
      <c r="R5" s="3611"/>
      <c r="S5" s="3612"/>
      <c r="T5" s="3611"/>
      <c r="U5" s="3612"/>
      <c r="V5" s="3630"/>
      <c r="W5" s="3630"/>
      <c r="X5" s="1340"/>
      <c r="Y5" s="3611"/>
      <c r="Z5" s="3612"/>
      <c r="AA5" s="3605"/>
      <c r="AB5" s="3630"/>
      <c r="AC5" s="3605"/>
    </row>
    <row r="6" spans="1:29" ht="14.25" thickBot="1">
      <c r="A6" s="148"/>
      <c r="B6" s="149"/>
      <c r="C6" s="3613" t="s">
        <v>63</v>
      </c>
      <c r="D6" s="3614"/>
      <c r="E6" s="3615" t="s">
        <v>63</v>
      </c>
      <c r="F6" s="3616"/>
      <c r="G6" s="3613" t="s">
        <v>63</v>
      </c>
      <c r="H6" s="3614"/>
      <c r="I6" s="3613" t="s">
        <v>63</v>
      </c>
      <c r="J6" s="3614"/>
      <c r="K6" s="187" t="s">
        <v>117</v>
      </c>
      <c r="L6" s="2297"/>
      <c r="M6" s="2298"/>
      <c r="N6" s="2298"/>
      <c r="O6" s="2298"/>
      <c r="P6" s="3626"/>
      <c r="Q6" s="3627"/>
      <c r="R6" s="3611"/>
      <c r="S6" s="3612"/>
      <c r="T6" s="3628"/>
      <c r="U6" s="3629"/>
      <c r="V6" s="3630"/>
      <c r="W6" s="3630"/>
      <c r="X6" s="1340"/>
      <c r="Y6" s="3628"/>
      <c r="Z6" s="3629"/>
      <c r="AA6" s="3606"/>
      <c r="AB6" s="3630"/>
      <c r="AC6" s="3606"/>
    </row>
    <row r="7" spans="1:29" s="40" customFormat="1" ht="15" thickBot="1">
      <c r="A7" s="1014" t="s">
        <v>64</v>
      </c>
      <c r="B7" s="1015"/>
      <c r="C7" s="1016">
        <f>'数据-取费表'!B2</f>
        <v>42921</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607" t="s">
        <v>64</v>
      </c>
      <c r="Q7" s="3631"/>
      <c r="R7" s="1342" t="s">
        <v>65</v>
      </c>
      <c r="S7" s="1343">
        <f t="shared" ref="S7:S15" si="0">F7</f>
        <v>0</v>
      </c>
      <c r="T7" s="1342" t="s">
        <v>65</v>
      </c>
      <c r="U7" s="1343">
        <f t="shared" ref="U7:U15" si="1">H7</f>
        <v>0</v>
      </c>
      <c r="V7" s="1342" t="s">
        <v>65</v>
      </c>
      <c r="W7" s="1343">
        <f t="shared" ref="W7:W15" si="2">J7</f>
        <v>0</v>
      </c>
      <c r="X7" s="287"/>
      <c r="Y7" s="3607" t="s">
        <v>64</v>
      </c>
      <c r="Z7" s="3608"/>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607" t="s">
        <v>1025</v>
      </c>
      <c r="Q8" s="3608"/>
      <c r="R8" s="1342" t="s">
        <v>65</v>
      </c>
      <c r="S8" s="1343">
        <f t="shared" si="0"/>
        <v>0</v>
      </c>
      <c r="T8" s="1342" t="s">
        <v>65</v>
      </c>
      <c r="U8" s="1343">
        <f t="shared" si="1"/>
        <v>0</v>
      </c>
      <c r="V8" s="1342" t="s">
        <v>65</v>
      </c>
      <c r="W8" s="1343">
        <f t="shared" si="2"/>
        <v>0</v>
      </c>
      <c r="X8" s="287"/>
      <c r="Y8" s="3607" t="s">
        <v>1025</v>
      </c>
      <c r="Z8" s="3608"/>
      <c r="AA8" s="1344" t="e">
        <f t="shared" ref="AA8:AA46" si="3">D8/F8</f>
        <v>#DIV/0!</v>
      </c>
      <c r="AB8" s="1344" t="e">
        <f t="shared" ref="AB8:AB46" si="4">D8/H8</f>
        <v>#DIV/0!</v>
      </c>
      <c r="AC8" s="1344" t="e">
        <f t="shared" ref="AC8:AC46" si="5">D8/J8</f>
        <v>#DIV/0!</v>
      </c>
    </row>
    <row r="9" spans="1:29" s="40" customFormat="1" ht="14.25">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617" t="s">
        <v>67</v>
      </c>
      <c r="Q9" s="7" t="str">
        <f t="shared" ref="Q9:Q15" si="6">B9</f>
        <v>用途</v>
      </c>
      <c r="R9" s="1342" t="s">
        <v>65</v>
      </c>
      <c r="S9" s="1343">
        <f t="shared" si="0"/>
        <v>100</v>
      </c>
      <c r="T9" s="1342" t="s">
        <v>65</v>
      </c>
      <c r="U9" s="1343">
        <f t="shared" si="1"/>
        <v>100</v>
      </c>
      <c r="V9" s="1342" t="s">
        <v>65</v>
      </c>
      <c r="W9" s="1343">
        <f t="shared" si="2"/>
        <v>100</v>
      </c>
      <c r="X9" s="287"/>
      <c r="Y9" s="340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617"/>
      <c r="Q10" s="7" t="str">
        <f t="shared" si="6"/>
        <v>土地使用年限（年）</v>
      </c>
      <c r="R10" s="1342" t="s">
        <v>65</v>
      </c>
      <c r="S10" s="1343">
        <f t="shared" si="0"/>
        <v>100</v>
      </c>
      <c r="T10" s="1342" t="s">
        <v>65</v>
      </c>
      <c r="U10" s="1343">
        <f t="shared" si="1"/>
        <v>100</v>
      </c>
      <c r="V10" s="1342" t="s">
        <v>65</v>
      </c>
      <c r="W10" s="1343">
        <f t="shared" si="2"/>
        <v>100</v>
      </c>
      <c r="X10" s="287"/>
      <c r="Y10" s="3404"/>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617"/>
      <c r="Q11" s="7" t="str">
        <f t="shared" si="6"/>
        <v>容积率</v>
      </c>
      <c r="R11" s="1342" t="s">
        <v>65</v>
      </c>
      <c r="S11" s="1343" t="e">
        <f t="shared" si="0"/>
        <v>#N/A</v>
      </c>
      <c r="T11" s="1342" t="s">
        <v>65</v>
      </c>
      <c r="U11" s="1343" t="e">
        <f t="shared" si="1"/>
        <v>#N/A</v>
      </c>
      <c r="V11" s="1342" t="s">
        <v>65</v>
      </c>
      <c r="W11" s="1343" t="e">
        <f t="shared" si="2"/>
        <v>#N/A</v>
      </c>
      <c r="X11" s="287"/>
      <c r="Y11" s="340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617"/>
      <c r="Q12" s="7">
        <f t="shared" si="6"/>
        <v>111</v>
      </c>
      <c r="R12" s="1342" t="s">
        <v>65</v>
      </c>
      <c r="S12" s="1343">
        <f t="shared" si="0"/>
        <v>100</v>
      </c>
      <c r="T12" s="1342" t="s">
        <v>65</v>
      </c>
      <c r="U12" s="1343">
        <f t="shared" si="1"/>
        <v>100</v>
      </c>
      <c r="V12" s="1342" t="s">
        <v>65</v>
      </c>
      <c r="W12" s="1343">
        <f t="shared" si="2"/>
        <v>100</v>
      </c>
      <c r="X12" s="287"/>
      <c r="Y12" s="3404"/>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617"/>
      <c r="Q13" s="7">
        <f t="shared" si="6"/>
        <v>111</v>
      </c>
      <c r="R13" s="1342" t="s">
        <v>65</v>
      </c>
      <c r="S13" s="1343">
        <f t="shared" si="0"/>
        <v>100</v>
      </c>
      <c r="T13" s="1342" t="s">
        <v>65</v>
      </c>
      <c r="U13" s="1343">
        <f t="shared" si="1"/>
        <v>100</v>
      </c>
      <c r="V13" s="1342" t="s">
        <v>65</v>
      </c>
      <c r="W13" s="1343">
        <f t="shared" si="2"/>
        <v>100</v>
      </c>
      <c r="X13" s="287"/>
      <c r="Y13" s="3404"/>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617"/>
      <c r="Q14" s="7">
        <f t="shared" si="6"/>
        <v>111</v>
      </c>
      <c r="R14" s="1342" t="s">
        <v>65</v>
      </c>
      <c r="S14" s="1343">
        <f t="shared" si="0"/>
        <v>100</v>
      </c>
      <c r="T14" s="1342" t="s">
        <v>65</v>
      </c>
      <c r="U14" s="1343">
        <f t="shared" si="1"/>
        <v>100</v>
      </c>
      <c r="V14" s="1342" t="s">
        <v>65</v>
      </c>
      <c r="W14" s="1343">
        <f t="shared" si="2"/>
        <v>100</v>
      </c>
      <c r="X14" s="287"/>
      <c r="Y14" s="3404"/>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644" t="s">
        <v>69</v>
      </c>
      <c r="Q15" s="1351" t="str">
        <f t="shared" si="6"/>
        <v>商业繁华度</v>
      </c>
      <c r="R15" s="1352" t="s">
        <v>65</v>
      </c>
      <c r="S15" s="1353">
        <f t="shared" si="0"/>
        <v>100</v>
      </c>
      <c r="T15" s="1352" t="s">
        <v>65</v>
      </c>
      <c r="U15" s="1353">
        <f t="shared" si="1"/>
        <v>100</v>
      </c>
      <c r="V15" s="1352" t="s">
        <v>65</v>
      </c>
      <c r="W15" s="1353">
        <f t="shared" si="2"/>
        <v>100</v>
      </c>
      <c r="X15" s="1340"/>
      <c r="Y15" s="3637"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645"/>
      <c r="Q16" s="1351"/>
      <c r="R16" s="1352"/>
      <c r="S16" s="1353"/>
      <c r="T16" s="1352"/>
      <c r="U16" s="1353"/>
      <c r="V16" s="1352"/>
      <c r="W16" s="1353"/>
      <c r="X16" s="1340"/>
      <c r="Y16" s="363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645"/>
      <c r="Q17" s="1351" t="str">
        <f>B17</f>
        <v>交通便捷度</v>
      </c>
      <c r="R17" s="1352" t="s">
        <v>65</v>
      </c>
      <c r="S17" s="1353">
        <f>F17</f>
        <v>100</v>
      </c>
      <c r="T17" s="1352" t="s">
        <v>65</v>
      </c>
      <c r="U17" s="1353">
        <f>H17</f>
        <v>100</v>
      </c>
      <c r="V17" s="1352" t="s">
        <v>65</v>
      </c>
      <c r="W17" s="1353">
        <f>J17</f>
        <v>100</v>
      </c>
      <c r="X17" s="1340"/>
      <c r="Y17" s="363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645"/>
      <c r="Q18" s="1351"/>
      <c r="R18" s="1352"/>
      <c r="S18" s="1353"/>
      <c r="T18" s="1352"/>
      <c r="U18" s="1353"/>
      <c r="V18" s="1352"/>
      <c r="W18" s="1353"/>
      <c r="X18" s="1340"/>
      <c r="Y18" s="3638"/>
      <c r="Z18" s="1354"/>
      <c r="AA18" s="1355">
        <v>1</v>
      </c>
      <c r="AB18" s="1355">
        <v>1</v>
      </c>
      <c r="AC18" s="1355">
        <v>1</v>
      </c>
    </row>
    <row r="19" spans="1:29" ht="40.5">
      <c r="A19" s="151"/>
      <c r="B19" s="1356" t="s">
        <v>2665</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645"/>
      <c r="Q19" s="1351" t="str">
        <f>B19</f>
        <v>公共配套设施</v>
      </c>
      <c r="R19" s="1352" t="s">
        <v>65</v>
      </c>
      <c r="S19" s="1353">
        <f>F19</f>
        <v>100</v>
      </c>
      <c r="T19" s="1352" t="s">
        <v>65</v>
      </c>
      <c r="U19" s="1353">
        <f>H19</f>
        <v>100</v>
      </c>
      <c r="V19" s="1352" t="s">
        <v>65</v>
      </c>
      <c r="W19" s="1353">
        <f>J19</f>
        <v>100</v>
      </c>
      <c r="X19" s="1340"/>
      <c r="Y19" s="363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645"/>
      <c r="Q20" s="1351"/>
      <c r="R20" s="1352"/>
      <c r="S20" s="1353"/>
      <c r="T20" s="1352"/>
      <c r="U20" s="1353"/>
      <c r="V20" s="1352"/>
      <c r="W20" s="1353"/>
      <c r="X20" s="1340"/>
      <c r="Y20" s="3638"/>
      <c r="Z20" s="1354"/>
      <c r="AA20" s="1355">
        <v>1</v>
      </c>
      <c r="AB20" s="1355">
        <v>1</v>
      </c>
      <c r="AC20" s="1355">
        <v>1</v>
      </c>
    </row>
    <row r="21" spans="1:29" ht="27">
      <c r="A21" s="151"/>
      <c r="B21" s="1412" t="s">
        <v>2666</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645"/>
      <c r="Q21" s="2748" t="str">
        <f>B21</f>
        <v>基础设施水平</v>
      </c>
      <c r="R21" s="1352" t="s">
        <v>65</v>
      </c>
      <c r="S21" s="1353">
        <f>F21</f>
        <v>100</v>
      </c>
      <c r="T21" s="1352" t="s">
        <v>65</v>
      </c>
      <c r="U21" s="1353">
        <f>H21</f>
        <v>100</v>
      </c>
      <c r="V21" s="1352" t="s">
        <v>65</v>
      </c>
      <c r="W21" s="1353">
        <f>J21</f>
        <v>100</v>
      </c>
      <c r="X21" s="2750"/>
      <c r="Y21" s="3638"/>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645"/>
      <c r="Q22" s="2748"/>
      <c r="R22" s="1352"/>
      <c r="S22" s="1353"/>
      <c r="T22" s="1352"/>
      <c r="U22" s="1353"/>
      <c r="V22" s="1352"/>
      <c r="W22" s="1353"/>
      <c r="X22" s="2750"/>
      <c r="Y22" s="3638"/>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645"/>
      <c r="Q23" s="1351" t="str">
        <f>B23</f>
        <v>自然及人文环境</v>
      </c>
      <c r="R23" s="1352" t="s">
        <v>65</v>
      </c>
      <c r="S23" s="1353">
        <f>F23</f>
        <v>100</v>
      </c>
      <c r="T23" s="1352" t="s">
        <v>65</v>
      </c>
      <c r="U23" s="1353">
        <f>H23</f>
        <v>100</v>
      </c>
      <c r="V23" s="1352" t="s">
        <v>65</v>
      </c>
      <c r="W23" s="1353">
        <f>J23</f>
        <v>100</v>
      </c>
      <c r="X23" s="1340"/>
      <c r="Y23" s="3638"/>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645"/>
      <c r="Q24" s="1351"/>
      <c r="R24" s="1352"/>
      <c r="S24" s="1353"/>
      <c r="T24" s="1352"/>
      <c r="U24" s="1353"/>
      <c r="V24" s="1352"/>
      <c r="W24" s="1353"/>
      <c r="X24" s="1340"/>
      <c r="Y24" s="363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645"/>
      <c r="Q25" s="1351" t="str">
        <f t="shared" ref="Q25:Q46" si="11">B25</f>
        <v>临街状况</v>
      </c>
      <c r="R25" s="1352" t="s">
        <v>65</v>
      </c>
      <c r="S25" s="1353">
        <f>F25</f>
        <v>100</v>
      </c>
      <c r="T25" s="1352" t="s">
        <v>65</v>
      </c>
      <c r="U25" s="1353">
        <f>H25</f>
        <v>100</v>
      </c>
      <c r="V25" s="1352" t="s">
        <v>65</v>
      </c>
      <c r="W25" s="1353">
        <f>J25</f>
        <v>100</v>
      </c>
      <c r="X25" s="1340"/>
      <c r="Y25" s="3638"/>
      <c r="Z25" s="1354" t="str">
        <f>Q25</f>
        <v>临街状况</v>
      </c>
      <c r="AA25" s="1355">
        <f t="shared" si="3"/>
        <v>1</v>
      </c>
      <c r="AB25" s="1355">
        <f t="shared" si="4"/>
        <v>1</v>
      </c>
      <c r="AC25" s="1355">
        <f t="shared" si="5"/>
        <v>1</v>
      </c>
    </row>
    <row r="26" spans="1:29" ht="14.25">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645"/>
      <c r="Q26" s="1351" t="str">
        <f t="shared" si="11"/>
        <v>平面位置/可视性</v>
      </c>
      <c r="R26" s="1352" t="s">
        <v>65</v>
      </c>
      <c r="S26" s="1353">
        <f>F26</f>
        <v>100</v>
      </c>
      <c r="T26" s="1352" t="s">
        <v>65</v>
      </c>
      <c r="U26" s="1353">
        <f>H26</f>
        <v>100</v>
      </c>
      <c r="V26" s="1352" t="s">
        <v>65</v>
      </c>
      <c r="W26" s="1353">
        <f>J26</f>
        <v>100</v>
      </c>
      <c r="X26" s="1340"/>
      <c r="Y26" s="3638"/>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645"/>
      <c r="Q27" s="7" t="str">
        <f t="shared" si="11"/>
        <v>人流量</v>
      </c>
      <c r="R27" s="1342" t="s">
        <v>65</v>
      </c>
      <c r="S27" s="1343">
        <f>F27</f>
        <v>100</v>
      </c>
      <c r="T27" s="1342" t="s">
        <v>65</v>
      </c>
      <c r="U27" s="1343">
        <f>H27</f>
        <v>100</v>
      </c>
      <c r="V27" s="1342" t="s">
        <v>65</v>
      </c>
      <c r="W27" s="1343">
        <f>J27</f>
        <v>100</v>
      </c>
      <c r="X27" s="287"/>
      <c r="Y27" s="3638"/>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64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38"/>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645"/>
      <c r="Q29" s="1351">
        <f t="shared" si="11"/>
        <v>111</v>
      </c>
      <c r="R29" s="1352" t="s">
        <v>65</v>
      </c>
      <c r="S29" s="1353">
        <f t="shared" si="12"/>
        <v>100</v>
      </c>
      <c r="T29" s="1352" t="s">
        <v>65</v>
      </c>
      <c r="U29" s="1353">
        <f t="shared" si="13"/>
        <v>100</v>
      </c>
      <c r="V29" s="1352" t="s">
        <v>65</v>
      </c>
      <c r="W29" s="1353">
        <f t="shared" si="14"/>
        <v>100</v>
      </c>
      <c r="X29" s="1340"/>
      <c r="Y29" s="3638"/>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645"/>
      <c r="Q30" s="1351">
        <f t="shared" si="11"/>
        <v>111</v>
      </c>
      <c r="R30" s="1352" t="s">
        <v>65</v>
      </c>
      <c r="S30" s="1353">
        <f t="shared" si="12"/>
        <v>100</v>
      </c>
      <c r="T30" s="1352" t="s">
        <v>65</v>
      </c>
      <c r="U30" s="1353">
        <f t="shared" si="13"/>
        <v>100</v>
      </c>
      <c r="V30" s="1352" t="s">
        <v>65</v>
      </c>
      <c r="W30" s="1353">
        <f t="shared" si="14"/>
        <v>100</v>
      </c>
      <c r="X30" s="1340"/>
      <c r="Y30" s="3638"/>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645"/>
      <c r="Q31" s="1351">
        <f t="shared" si="11"/>
        <v>111</v>
      </c>
      <c r="R31" s="1352" t="s">
        <v>65</v>
      </c>
      <c r="S31" s="1353">
        <f t="shared" si="12"/>
        <v>100</v>
      </c>
      <c r="T31" s="1352" t="s">
        <v>65</v>
      </c>
      <c r="U31" s="1353">
        <f t="shared" si="13"/>
        <v>100</v>
      </c>
      <c r="V31" s="1352" t="s">
        <v>65</v>
      </c>
      <c r="W31" s="1353">
        <f t="shared" si="14"/>
        <v>100</v>
      </c>
      <c r="X31" s="1340"/>
      <c r="Y31" s="3638"/>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639" t="s">
        <v>1032</v>
      </c>
      <c r="Q32" s="1351" t="str">
        <f t="shared" si="11"/>
        <v>商业类型</v>
      </c>
      <c r="R32" s="1352" t="s">
        <v>65</v>
      </c>
      <c r="S32" s="1353">
        <f t="shared" si="12"/>
        <v>100</v>
      </c>
      <c r="T32" s="1352" t="s">
        <v>65</v>
      </c>
      <c r="U32" s="1353">
        <f t="shared" si="13"/>
        <v>100</v>
      </c>
      <c r="V32" s="1352" t="s">
        <v>65</v>
      </c>
      <c r="W32" s="1353">
        <f t="shared" si="14"/>
        <v>100</v>
      </c>
      <c r="X32" s="1340"/>
      <c r="Y32" s="3642" t="s">
        <v>1032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640"/>
      <c r="Q33" s="1359" t="str">
        <f t="shared" si="11"/>
        <v>项目建筑规模</v>
      </c>
      <c r="R33" s="1360" t="s">
        <v>65</v>
      </c>
      <c r="S33" s="1361" t="e">
        <f t="shared" si="12"/>
        <v>#N/A</v>
      </c>
      <c r="T33" s="1360" t="s">
        <v>65</v>
      </c>
      <c r="U33" s="1361" t="e">
        <f t="shared" si="13"/>
        <v>#N/A</v>
      </c>
      <c r="V33" s="1360" t="s">
        <v>65</v>
      </c>
      <c r="W33" s="1361" t="e">
        <f t="shared" si="14"/>
        <v>#N/A</v>
      </c>
      <c r="X33" s="1362"/>
      <c r="Y33" s="3642"/>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640"/>
      <c r="Q34" s="1351" t="str">
        <f t="shared" si="11"/>
        <v>建筑结构</v>
      </c>
      <c r="R34" s="1352" t="s">
        <v>65</v>
      </c>
      <c r="S34" s="1353">
        <f t="shared" si="12"/>
        <v>100</v>
      </c>
      <c r="T34" s="1352" t="s">
        <v>65</v>
      </c>
      <c r="U34" s="1353">
        <f t="shared" si="13"/>
        <v>100</v>
      </c>
      <c r="V34" s="1352" t="s">
        <v>65</v>
      </c>
      <c r="W34" s="1353">
        <f t="shared" si="14"/>
        <v>100</v>
      </c>
      <c r="X34" s="1340"/>
      <c r="Y34" s="3642"/>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640"/>
      <c r="Q35" s="1351" t="str">
        <f t="shared" si="11"/>
        <v>公共部分装修</v>
      </c>
      <c r="R35" s="1352" t="s">
        <v>65</v>
      </c>
      <c r="S35" s="1353">
        <f t="shared" si="12"/>
        <v>100</v>
      </c>
      <c r="T35" s="1352" t="s">
        <v>65</v>
      </c>
      <c r="U35" s="1353">
        <f t="shared" si="13"/>
        <v>100</v>
      </c>
      <c r="V35" s="1352" t="s">
        <v>65</v>
      </c>
      <c r="W35" s="1353">
        <f t="shared" si="14"/>
        <v>100</v>
      </c>
      <c r="X35" s="1340"/>
      <c r="Y35" s="3642"/>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640"/>
      <c r="Q36" s="1351" t="str">
        <f t="shared" si="11"/>
        <v>成新度</v>
      </c>
      <c r="R36" s="1352" t="s">
        <v>65</v>
      </c>
      <c r="S36" s="1353" t="e">
        <f t="shared" si="12"/>
        <v>#N/A</v>
      </c>
      <c r="T36" s="1352" t="s">
        <v>65</v>
      </c>
      <c r="U36" s="1353" t="e">
        <f t="shared" si="13"/>
        <v>#N/A</v>
      </c>
      <c r="V36" s="1352" t="s">
        <v>65</v>
      </c>
      <c r="W36" s="1353" t="e">
        <f t="shared" si="14"/>
        <v>#N/A</v>
      </c>
      <c r="X36" s="1340"/>
      <c r="Y36" s="3642"/>
      <c r="Z36" s="1354" t="str">
        <f t="shared" si="15"/>
        <v>成新度</v>
      </c>
      <c r="AA36" s="1355" t="e">
        <f t="shared" si="3"/>
        <v>#N/A</v>
      </c>
      <c r="AB36" s="1355" t="e">
        <f t="shared" si="4"/>
        <v>#N/A</v>
      </c>
      <c r="AC36" s="1355" t="e">
        <f t="shared" si="5"/>
        <v>#N/A</v>
      </c>
    </row>
    <row r="37" spans="1:29" s="40" customFormat="1" ht="15">
      <c r="A37" s="1041"/>
      <c r="B37" s="12" t="s">
        <v>2667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640"/>
      <c r="Q37" s="7" t="str">
        <f t="shared" si="11"/>
        <v>市政基础设施</v>
      </c>
      <c r="R37" s="1342" t="s">
        <v>65</v>
      </c>
      <c r="S37" s="1343">
        <f t="shared" si="12"/>
        <v>100</v>
      </c>
      <c r="T37" s="1342" t="s">
        <v>65</v>
      </c>
      <c r="U37" s="1343">
        <f t="shared" si="13"/>
        <v>100</v>
      </c>
      <c r="V37" s="1342" t="s">
        <v>65</v>
      </c>
      <c r="W37" s="1343">
        <f t="shared" si="14"/>
        <v>100</v>
      </c>
      <c r="X37" s="287"/>
      <c r="Y37" s="364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640" t="s">
        <v>1035</v>
      </c>
      <c r="Q38" s="1351" t="str">
        <f t="shared" si="11"/>
        <v>业态</v>
      </c>
      <c r="R38" s="1352" t="s">
        <v>65</v>
      </c>
      <c r="S38" s="1353">
        <f t="shared" si="12"/>
        <v>100</v>
      </c>
      <c r="T38" s="1352" t="s">
        <v>65</v>
      </c>
      <c r="U38" s="1353">
        <f t="shared" si="13"/>
        <v>100</v>
      </c>
      <c r="V38" s="1352" t="s">
        <v>65</v>
      </c>
      <c r="W38" s="1353">
        <f t="shared" si="14"/>
        <v>100</v>
      </c>
      <c r="X38" s="1340"/>
      <c r="Y38" s="3642"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640"/>
      <c r="Q39" s="1351" t="str">
        <f t="shared" si="11"/>
        <v>层高</v>
      </c>
      <c r="R39" s="1352" t="s">
        <v>65</v>
      </c>
      <c r="S39" s="1353">
        <f t="shared" si="12"/>
        <v>100</v>
      </c>
      <c r="T39" s="1352" t="s">
        <v>65</v>
      </c>
      <c r="U39" s="1353">
        <f t="shared" si="13"/>
        <v>100</v>
      </c>
      <c r="V39" s="1352" t="s">
        <v>65</v>
      </c>
      <c r="W39" s="1353">
        <f t="shared" si="14"/>
        <v>100</v>
      </c>
      <c r="X39" s="1340"/>
      <c r="Y39" s="3642"/>
      <c r="Z39" s="1354" t="str">
        <f t="shared" si="15"/>
        <v>层高</v>
      </c>
      <c r="AA39" s="1355">
        <f t="shared" si="3"/>
        <v>1</v>
      </c>
      <c r="AB39" s="1355">
        <f t="shared" si="4"/>
        <v>1</v>
      </c>
      <c r="AC39" s="1355">
        <f t="shared" si="5"/>
        <v>1</v>
      </c>
    </row>
    <row r="40" spans="1:29" ht="14.25">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640"/>
      <c r="Q40" s="1351" t="str">
        <f t="shared" si="11"/>
        <v>单套建筑面积</v>
      </c>
      <c r="R40" s="1352" t="s">
        <v>65</v>
      </c>
      <c r="S40" s="1353">
        <f t="shared" si="12"/>
        <v>100</v>
      </c>
      <c r="T40" s="1352" t="s">
        <v>65</v>
      </c>
      <c r="U40" s="1353">
        <f t="shared" si="13"/>
        <v>100</v>
      </c>
      <c r="V40" s="1352" t="s">
        <v>65</v>
      </c>
      <c r="W40" s="1353">
        <f t="shared" si="14"/>
        <v>100</v>
      </c>
      <c r="X40" s="1340"/>
      <c r="Y40" s="3642"/>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640"/>
      <c r="Q41" s="1359" t="str">
        <f t="shared" si="11"/>
        <v>进深比</v>
      </c>
      <c r="R41" s="1360" t="s">
        <v>65</v>
      </c>
      <c r="S41" s="1361">
        <f t="shared" si="12"/>
        <v>100</v>
      </c>
      <c r="T41" s="1360" t="s">
        <v>65</v>
      </c>
      <c r="U41" s="1361">
        <f t="shared" si="13"/>
        <v>100</v>
      </c>
      <c r="V41" s="1360" t="s">
        <v>65</v>
      </c>
      <c r="W41" s="1361">
        <f t="shared" si="14"/>
        <v>100</v>
      </c>
      <c r="X41" s="1362"/>
      <c r="Y41" s="3642"/>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640"/>
      <c r="Q42" s="1351" t="str">
        <f t="shared" si="11"/>
        <v>内部装修</v>
      </c>
      <c r="R42" s="1352" t="s">
        <v>65</v>
      </c>
      <c r="S42" s="1353">
        <f t="shared" si="12"/>
        <v>100</v>
      </c>
      <c r="T42" s="1352" t="s">
        <v>65</v>
      </c>
      <c r="U42" s="1353">
        <f t="shared" si="13"/>
        <v>100</v>
      </c>
      <c r="V42" s="1352" t="s">
        <v>65</v>
      </c>
      <c r="W42" s="1353">
        <f t="shared" si="14"/>
        <v>100</v>
      </c>
      <c r="X42" s="1340"/>
      <c r="Y42" s="3642"/>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640"/>
      <c r="Q43" s="1351" t="str">
        <f t="shared" si="11"/>
        <v>内部装修维护情况</v>
      </c>
      <c r="R43" s="1352" t="s">
        <v>65</v>
      </c>
      <c r="S43" s="1353">
        <f t="shared" si="12"/>
        <v>100</v>
      </c>
      <c r="T43" s="1352" t="s">
        <v>65</v>
      </c>
      <c r="U43" s="1353">
        <f t="shared" si="13"/>
        <v>100</v>
      </c>
      <c r="V43" s="1352" t="s">
        <v>65</v>
      </c>
      <c r="W43" s="1353">
        <f t="shared" si="14"/>
        <v>100</v>
      </c>
      <c r="X43" s="1340"/>
      <c r="Y43" s="3642"/>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640"/>
      <c r="Q44" s="7">
        <f t="shared" si="11"/>
        <v>111</v>
      </c>
      <c r="R44" s="1342" t="s">
        <v>65</v>
      </c>
      <c r="S44" s="1343">
        <f t="shared" si="12"/>
        <v>100</v>
      </c>
      <c r="T44" s="1342" t="s">
        <v>65</v>
      </c>
      <c r="U44" s="1343">
        <f t="shared" si="13"/>
        <v>100</v>
      </c>
      <c r="V44" s="1342" t="s">
        <v>65</v>
      </c>
      <c r="W44" s="1343">
        <f t="shared" si="14"/>
        <v>100</v>
      </c>
      <c r="X44" s="287"/>
      <c r="Y44" s="3642"/>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640"/>
      <c r="Q45" s="1351">
        <f t="shared" si="11"/>
        <v>111</v>
      </c>
      <c r="R45" s="1352" t="s">
        <v>65</v>
      </c>
      <c r="S45" s="1353">
        <f t="shared" si="12"/>
        <v>100</v>
      </c>
      <c r="T45" s="1352" t="s">
        <v>65</v>
      </c>
      <c r="U45" s="1353">
        <f t="shared" si="13"/>
        <v>100</v>
      </c>
      <c r="V45" s="1352" t="s">
        <v>65</v>
      </c>
      <c r="W45" s="1353">
        <f t="shared" si="14"/>
        <v>100</v>
      </c>
      <c r="X45" s="1340"/>
      <c r="Y45" s="3642"/>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641"/>
      <c r="Q46" s="1351">
        <f t="shared" si="11"/>
        <v>111</v>
      </c>
      <c r="R46" s="1352" t="s">
        <v>65</v>
      </c>
      <c r="S46" s="1353">
        <f t="shared" si="12"/>
        <v>100</v>
      </c>
      <c r="T46" s="1352" t="s">
        <v>65</v>
      </c>
      <c r="U46" s="1353">
        <f t="shared" si="13"/>
        <v>100</v>
      </c>
      <c r="V46" s="1352" t="s">
        <v>65</v>
      </c>
      <c r="W46" s="1353">
        <f t="shared" si="14"/>
        <v>100</v>
      </c>
      <c r="X46" s="1340"/>
      <c r="Y46" s="3643"/>
      <c r="Z46" s="1354">
        <f t="shared" si="15"/>
        <v>111</v>
      </c>
      <c r="AA46" s="1355">
        <f t="shared" si="3"/>
        <v>1</v>
      </c>
      <c r="AB46" s="1355">
        <f t="shared" si="4"/>
        <v>1</v>
      </c>
      <c r="AC46" s="1355">
        <f t="shared" si="5"/>
        <v>1</v>
      </c>
    </row>
    <row r="47" spans="1:29" ht="15">
      <c r="A47" s="163" t="s">
        <v>1040</v>
      </c>
      <c r="B47" s="164"/>
      <c r="C47" s="2838" t="s">
        <v>23</v>
      </c>
      <c r="D47" s="2839"/>
      <c r="E47" s="2840"/>
      <c r="F47" s="2841"/>
      <c r="G47" s="2842"/>
      <c r="H47" s="2843"/>
      <c r="I47" s="2840"/>
      <c r="J47" s="2843"/>
      <c r="K47" s="1393"/>
      <c r="L47" s="2305"/>
      <c r="M47" s="2306"/>
      <c r="N47" s="2298"/>
      <c r="O47" s="2306"/>
      <c r="P47" s="3635" t="str">
        <f>A47</f>
        <v>成交单价（元/平方米）</v>
      </c>
      <c r="Q47" s="3635"/>
      <c r="R47" s="3630">
        <f>E47</f>
        <v>0</v>
      </c>
      <c r="S47" s="3630"/>
      <c r="T47" s="3630">
        <f>G47</f>
        <v>0</v>
      </c>
      <c r="U47" s="3630"/>
      <c r="V47" s="3630">
        <f>I47</f>
        <v>0</v>
      </c>
      <c r="W47" s="3630"/>
      <c r="X47" s="1365"/>
      <c r="Y47" s="1366"/>
      <c r="Z47" s="1365"/>
      <c r="AA47" s="1365"/>
      <c r="AB47" s="1365"/>
      <c r="AC47" s="1365"/>
    </row>
    <row r="48" spans="1:29" ht="15.75" thickBot="1">
      <c r="A48" s="165" t="s">
        <v>1041</v>
      </c>
      <c r="B48" s="166"/>
      <c r="C48" s="2844" t="e">
        <f>R49</f>
        <v>#DIV/0!</v>
      </c>
      <c r="D48" s="2845"/>
      <c r="E48" s="2846" t="e">
        <f>R48</f>
        <v>#DIV/0!</v>
      </c>
      <c r="F48" s="2846"/>
      <c r="G48" s="2844" t="e">
        <f>T48</f>
        <v>#DIV/0!</v>
      </c>
      <c r="H48" s="2845"/>
      <c r="I48" s="2846" t="e">
        <f>V48</f>
        <v>#DIV/0!</v>
      </c>
      <c r="J48" s="2845"/>
      <c r="K48" s="1394"/>
      <c r="L48" s="2305"/>
      <c r="M48" s="2306"/>
      <c r="N48" s="2298"/>
      <c r="O48" s="2306"/>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365"/>
      <c r="Y48" s="1365"/>
      <c r="Z48" s="1365"/>
      <c r="AA48" s="1365"/>
      <c r="AB48" s="1365"/>
      <c r="AC48" s="1365"/>
    </row>
    <row r="49" spans="1:29" ht="15.75" thickBot="1">
      <c r="A49" s="115" t="s">
        <v>3032</v>
      </c>
      <c r="B49" s="116"/>
      <c r="C49" s="2848" t="e">
        <f>R49</f>
        <v>#DIV/0!</v>
      </c>
      <c r="D49" s="2848"/>
      <c r="E49" s="2848"/>
      <c r="F49" s="2848"/>
      <c r="G49" s="2848"/>
      <c r="H49" s="2848"/>
      <c r="I49" s="2848"/>
      <c r="J49" s="2848"/>
      <c r="K49" s="1395"/>
      <c r="L49" s="2305"/>
      <c r="M49" s="2306"/>
      <c r="N49" s="2298"/>
      <c r="O49" s="2306"/>
      <c r="P49" s="3632" t="str">
        <f>A49</f>
        <v>估价对象XX用房的比较价值（楼面单价，元/平方米）</v>
      </c>
      <c r="Q49" s="3633"/>
      <c r="R49" s="3634" t="e">
        <f>IF(F1="售价",ROUND(AVERAGE(R48:V48),0),ROUND(AVERAGE(R48:V48),1))</f>
        <v>#DIV/0!</v>
      </c>
      <c r="S49" s="3634"/>
      <c r="T49" s="3634"/>
      <c r="U49" s="3634"/>
      <c r="V49" s="3634"/>
      <c r="W49" s="3634"/>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2806</v>
      </c>
      <c r="B58" s="849"/>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2649</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2668</v>
      </c>
      <c r="C82" s="213" t="s">
        <v>2669</v>
      </c>
      <c r="D82" s="213" t="s">
        <v>2670</v>
      </c>
      <c r="E82" s="213" t="s">
        <v>2671</v>
      </c>
      <c r="F82" s="213" t="s">
        <v>2672</v>
      </c>
      <c r="G82" s="213" t="s">
        <v>2673</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2651</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2017</v>
      </c>
    </row>
    <row r="2" spans="1:1">
      <c r="A2" s="1948"/>
    </row>
    <row r="3" spans="1:1" ht="18.75">
      <c r="A3" s="2891" t="str">
        <f>项目基本情况!B5&amp;"："</f>
        <v>：</v>
      </c>
    </row>
    <row r="4" spans="1:1" ht="18.75">
      <c r="A4" s="1949" t="str">
        <f>"受贵公司委托，我公司对"&amp;项目基本情况!S1&amp;"进行了预评估。"</f>
        <v>受贵公司委托，我公司对进行了预评估。</v>
      </c>
    </row>
    <row r="5" spans="1:1" ht="18.75">
      <c r="A5" s="1950" t="s">
        <v>2018</v>
      </c>
    </row>
    <row r="6" spans="1:1" ht="18.75">
      <c r="A6" s="3057" t="s">
        <v>2884</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估价对象为房地产，为所有。根据《国有土地使用证》[]，估价对象（分摊）出让国有建设用地使用权面积为52242.5平方米，建筑面积为20083.5平方米。</v>
      </c>
    </row>
    <row r="8" spans="1:1" ht="56.25">
      <c r="A8" s="1993" t="s">
        <v>2877</v>
      </c>
    </row>
    <row r="9" spans="1:1" ht="18.75">
      <c r="A9" s="3057" t="s">
        <v>2885</v>
      </c>
    </row>
    <row r="10" spans="1:1" ht="56.2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估价对象为房地产,为开发建设的，该项目尚在开发建设中。根据《国有土地使用证》[]，估价对象（分摊）出让国有建设用地使用权面积为52242.5平方米，规划建筑面积为20083.5平方米。</v>
      </c>
    </row>
    <row r="11" spans="1:1" ht="75">
      <c r="A11" s="1993" t="s">
        <v>2919</v>
      </c>
    </row>
    <row r="12" spans="1:1" ht="18.75">
      <c r="A12" s="1950" t="s">
        <v>2019</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2020</v>
      </c>
    </row>
    <row r="15" spans="1:1" ht="18.75">
      <c r="A15" s="1953" t="str">
        <f>TEXT(项目基本情况!D3,"yyyy年m月d日;;")&amp;IF(项目基本情况!D3=项目基本情况!B3,"（评估专业人员实地查勘之日）","")</f>
        <v>2017年7月5日（评估专业人员实地查勘之日）</v>
      </c>
    </row>
    <row r="16" spans="1:1" ht="18.75">
      <c r="A16" s="1952" t="s">
        <v>2022</v>
      </c>
    </row>
    <row r="17" spans="1:1" ht="75">
      <c r="A17" s="1949" t="s">
        <v>2878</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5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2879</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2038</v>
      </c>
    </row>
    <row r="24" spans="1:1" ht="18.75">
      <c r="A24" s="1956" t="str">
        <f>"本次评估采用的主估价方法为"&amp;结果表!K4&amp;"和"&amp;结果表!L4&amp;"。"</f>
        <v>本次评估采用的主估价方法为成本法和收益法。</v>
      </c>
    </row>
    <row r="25" spans="1:1" ht="18.75">
      <c r="A25" s="1956"/>
    </row>
    <row r="26" spans="1:1" ht="18.75">
      <c r="A26" s="2085" t="s">
        <v>2120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1072</v>
      </c>
      <c r="B1" s="3123" t="s">
        <v>1073</v>
      </c>
      <c r="C1" s="3117" t="s">
        <v>1074</v>
      </c>
      <c r="D1" s="3108"/>
      <c r="E1" s="3113"/>
      <c r="F1" s="3110"/>
      <c r="G1" s="3112" t="s">
        <v>1075</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1076</v>
      </c>
      <c r="B2" s="2849" t="e">
        <f ca="1">IF(C2="——",ROUND(C50*D3/10000,0),ROUND(C50*D3/10000,0)-D2)</f>
        <v>#DIV/0!</v>
      </c>
      <c r="C2" s="3102"/>
      <c r="D2" s="2726" t="e">
        <f ca="1">SUMIF(INDIRECT("'"&amp;F2&amp;"'"&amp;"!A:A"),"承租人权益价值",INDIRECT("'"&amp;F2&amp;"'"&amp;"!c:c"))</f>
        <v>#REF!</v>
      </c>
      <c r="E2" s="3103" t="s">
        <v>872</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20083.5</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618" t="s">
        <v>1080</v>
      </c>
      <c r="D4" s="3619"/>
      <c r="E4" s="3620" t="s">
        <v>1081</v>
      </c>
      <c r="F4" s="3621"/>
      <c r="G4" s="3618" t="s">
        <v>1082</v>
      </c>
      <c r="H4" s="3619"/>
      <c r="I4" s="3618" t="s">
        <v>1083</v>
      </c>
      <c r="J4" s="3619"/>
      <c r="K4" s="187" t="s">
        <v>1084</v>
      </c>
      <c r="L4" s="2297"/>
      <c r="M4" s="2298"/>
      <c r="N4" s="2298"/>
      <c r="O4" s="2298"/>
      <c r="P4" s="3652" t="s">
        <v>1079</v>
      </c>
      <c r="Q4" s="3653"/>
      <c r="R4" s="3647" t="s">
        <v>1081</v>
      </c>
      <c r="S4" s="3648"/>
      <c r="T4" s="3647" t="s">
        <v>1082</v>
      </c>
      <c r="U4" s="3648"/>
      <c r="V4" s="3656" t="s">
        <v>1083</v>
      </c>
      <c r="W4" s="3656"/>
      <c r="X4" s="2337"/>
      <c r="Y4" s="3647" t="s">
        <v>1079</v>
      </c>
      <c r="Z4" s="3648"/>
      <c r="AA4" s="3646" t="s">
        <v>1081</v>
      </c>
      <c r="AB4" s="3646" t="s">
        <v>1082</v>
      </c>
      <c r="AC4" s="3649" t="s">
        <v>1083</v>
      </c>
    </row>
    <row r="5" spans="1:29">
      <c r="A5" s="146"/>
      <c r="B5" s="147"/>
      <c r="C5" s="3568" t="s">
        <v>1085</v>
      </c>
      <c r="D5" s="3569"/>
      <c r="E5" s="3555" t="s">
        <v>1086</v>
      </c>
      <c r="F5" s="3556"/>
      <c r="G5" s="3568" t="s">
        <v>1087</v>
      </c>
      <c r="H5" s="3569"/>
      <c r="I5" s="3568" t="s">
        <v>1088</v>
      </c>
      <c r="J5" s="3569"/>
      <c r="K5" s="187"/>
      <c r="L5" s="2297"/>
      <c r="M5" s="2298"/>
      <c r="N5" s="2298"/>
      <c r="O5" s="2298"/>
      <c r="P5" s="3654"/>
      <c r="Q5" s="3625"/>
      <c r="R5" s="3611"/>
      <c r="S5" s="3612"/>
      <c r="T5" s="3611"/>
      <c r="U5" s="3612"/>
      <c r="V5" s="3630"/>
      <c r="W5" s="3630"/>
      <c r="X5" s="2223"/>
      <c r="Y5" s="3611"/>
      <c r="Z5" s="3612"/>
      <c r="AA5" s="3605"/>
      <c r="AB5" s="3605"/>
      <c r="AC5" s="3650"/>
    </row>
    <row r="6" spans="1:29" ht="14.25" thickBot="1">
      <c r="A6" s="148"/>
      <c r="B6" s="149"/>
      <c r="C6" s="3613" t="s">
        <v>1089</v>
      </c>
      <c r="D6" s="3614"/>
      <c r="E6" s="3615" t="s">
        <v>1089</v>
      </c>
      <c r="F6" s="3616"/>
      <c r="G6" s="3613" t="s">
        <v>1089</v>
      </c>
      <c r="H6" s="3614"/>
      <c r="I6" s="3613" t="s">
        <v>1089</v>
      </c>
      <c r="J6" s="3614"/>
      <c r="K6" s="187" t="s">
        <v>1090</v>
      </c>
      <c r="L6" s="2297"/>
      <c r="M6" s="2298"/>
      <c r="N6" s="2298"/>
      <c r="O6" s="2298"/>
      <c r="P6" s="3655"/>
      <c r="Q6" s="3627"/>
      <c r="R6" s="3611"/>
      <c r="S6" s="3612"/>
      <c r="T6" s="3628"/>
      <c r="U6" s="3629"/>
      <c r="V6" s="3630"/>
      <c r="W6" s="3630"/>
      <c r="X6" s="2223"/>
      <c r="Y6" s="3628"/>
      <c r="Z6" s="3629"/>
      <c r="AA6" s="3606"/>
      <c r="AB6" s="3606"/>
      <c r="AC6" s="3651"/>
    </row>
    <row r="7" spans="1:29" s="40" customFormat="1" ht="15" thickBot="1">
      <c r="A7" s="1014" t="s">
        <v>1091</v>
      </c>
      <c r="B7" s="1015"/>
      <c r="C7" s="753">
        <f>'数据-取费表'!B2</f>
        <v>42921</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57" t="s">
        <v>1091</v>
      </c>
      <c r="Q7" s="3631"/>
      <c r="R7" s="1342" t="s">
        <v>65</v>
      </c>
      <c r="S7" s="1343">
        <f t="shared" ref="S7:S15" si="0">F7</f>
        <v>0</v>
      </c>
      <c r="T7" s="1342" t="s">
        <v>65</v>
      </c>
      <c r="U7" s="1343">
        <f t="shared" ref="U7:U15" si="1">H7</f>
        <v>0</v>
      </c>
      <c r="V7" s="1342" t="s">
        <v>65</v>
      </c>
      <c r="W7" s="1343">
        <f t="shared" ref="W7:W15" si="2">J7</f>
        <v>0</v>
      </c>
      <c r="X7" s="287"/>
      <c r="Y7" s="3607" t="s">
        <v>1091</v>
      </c>
      <c r="Z7" s="3608"/>
      <c r="AA7" s="1344" t="e">
        <f>D7/F7</f>
        <v>#DIV/0!</v>
      </c>
      <c r="AB7" s="1344" t="e">
        <f>D7/H7</f>
        <v>#DIV/0!</v>
      </c>
      <c r="AC7" s="2338" t="e">
        <f>D7/J7</f>
        <v>#DIV/0!</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57" t="s">
        <v>1025</v>
      </c>
      <c r="Q8" s="3608"/>
      <c r="R8" s="1342" t="s">
        <v>65</v>
      </c>
      <c r="S8" s="1343">
        <f t="shared" si="0"/>
        <v>0</v>
      </c>
      <c r="T8" s="1342" t="s">
        <v>65</v>
      </c>
      <c r="U8" s="1343">
        <f t="shared" si="1"/>
        <v>0</v>
      </c>
      <c r="V8" s="1342" t="s">
        <v>65</v>
      </c>
      <c r="W8" s="1343">
        <f t="shared" si="2"/>
        <v>0</v>
      </c>
      <c r="X8" s="287"/>
      <c r="Y8" s="3607" t="s">
        <v>1025</v>
      </c>
      <c r="Z8" s="3608"/>
      <c r="AA8" s="1344" t="e">
        <f t="shared" ref="AA8:AA47" si="3">D8/F8</f>
        <v>#DIV/0!</v>
      </c>
      <c r="AB8" s="1344" t="e">
        <f t="shared" ref="AB8:AB47" si="4">D8/H8</f>
        <v>#DIV/0!</v>
      </c>
      <c r="AC8" s="2338" t="e">
        <f t="shared" ref="AC8:AC47" si="5">D8/J8</f>
        <v>#DIV/0!</v>
      </c>
    </row>
    <row r="9" spans="1:29" s="40" customFormat="1" ht="14.25">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617" t="s">
        <v>67</v>
      </c>
      <c r="Q9" s="2214" t="str">
        <f t="shared" ref="Q9:Q15" si="6">B9</f>
        <v>用途</v>
      </c>
      <c r="R9" s="1342" t="s">
        <v>65</v>
      </c>
      <c r="S9" s="1343">
        <f t="shared" si="0"/>
        <v>100</v>
      </c>
      <c r="T9" s="1342" t="s">
        <v>65</v>
      </c>
      <c r="U9" s="1343">
        <f t="shared" si="1"/>
        <v>100</v>
      </c>
      <c r="V9" s="1342" t="s">
        <v>65</v>
      </c>
      <c r="W9" s="1343">
        <f t="shared" si="2"/>
        <v>100</v>
      </c>
      <c r="X9" s="287"/>
      <c r="Y9" s="3404"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617"/>
      <c r="Q10" s="2214" t="str">
        <f t="shared" si="6"/>
        <v>土地使用年限（年）</v>
      </c>
      <c r="R10" s="1342" t="s">
        <v>65</v>
      </c>
      <c r="S10" s="1343">
        <f t="shared" si="0"/>
        <v>100</v>
      </c>
      <c r="T10" s="1342" t="s">
        <v>65</v>
      </c>
      <c r="U10" s="1343">
        <f t="shared" si="1"/>
        <v>100</v>
      </c>
      <c r="V10" s="1342" t="s">
        <v>65</v>
      </c>
      <c r="W10" s="1343">
        <f t="shared" si="2"/>
        <v>100</v>
      </c>
      <c r="X10" s="287"/>
      <c r="Y10" s="3404"/>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617"/>
      <c r="Q11" s="2214" t="str">
        <f t="shared" si="6"/>
        <v>容积率</v>
      </c>
      <c r="R11" s="1342" t="s">
        <v>65</v>
      </c>
      <c r="S11" s="1343" t="e">
        <f t="shared" si="0"/>
        <v>#N/A</v>
      </c>
      <c r="T11" s="1342" t="s">
        <v>65</v>
      </c>
      <c r="U11" s="1343" t="e">
        <f t="shared" si="1"/>
        <v>#N/A</v>
      </c>
      <c r="V11" s="1342" t="s">
        <v>65</v>
      </c>
      <c r="W11" s="1343" t="e">
        <f t="shared" si="2"/>
        <v>#N/A</v>
      </c>
      <c r="X11" s="287"/>
      <c r="Y11" s="3404"/>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617"/>
      <c r="Q12" s="2214">
        <f t="shared" si="6"/>
        <v>111</v>
      </c>
      <c r="R12" s="1342" t="s">
        <v>65</v>
      </c>
      <c r="S12" s="1343">
        <f t="shared" si="0"/>
        <v>100</v>
      </c>
      <c r="T12" s="1342" t="s">
        <v>65</v>
      </c>
      <c r="U12" s="1343">
        <f t="shared" si="1"/>
        <v>100</v>
      </c>
      <c r="V12" s="1342" t="s">
        <v>65</v>
      </c>
      <c r="W12" s="1343">
        <f t="shared" si="2"/>
        <v>100</v>
      </c>
      <c r="X12" s="287"/>
      <c r="Y12" s="3404"/>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617"/>
      <c r="Q13" s="2214">
        <f t="shared" si="6"/>
        <v>111</v>
      </c>
      <c r="R13" s="1342" t="s">
        <v>65</v>
      </c>
      <c r="S13" s="1343">
        <f t="shared" si="0"/>
        <v>100</v>
      </c>
      <c r="T13" s="1342" t="s">
        <v>65</v>
      </c>
      <c r="U13" s="1343">
        <f t="shared" si="1"/>
        <v>100</v>
      </c>
      <c r="V13" s="1342" t="s">
        <v>65</v>
      </c>
      <c r="W13" s="1343">
        <f t="shared" si="2"/>
        <v>100</v>
      </c>
      <c r="X13" s="287"/>
      <c r="Y13" s="3404"/>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617"/>
      <c r="Q14" s="2214">
        <f t="shared" si="6"/>
        <v>111</v>
      </c>
      <c r="R14" s="1342" t="s">
        <v>65</v>
      </c>
      <c r="S14" s="1343">
        <f t="shared" si="0"/>
        <v>100</v>
      </c>
      <c r="T14" s="1342" t="s">
        <v>65</v>
      </c>
      <c r="U14" s="1343">
        <f t="shared" si="1"/>
        <v>100</v>
      </c>
      <c r="V14" s="1342" t="s">
        <v>65</v>
      </c>
      <c r="W14" s="1343">
        <f t="shared" si="2"/>
        <v>100</v>
      </c>
      <c r="X14" s="287"/>
      <c r="Y14" s="3404"/>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644" t="s">
        <v>69</v>
      </c>
      <c r="Q15" s="2221" t="str">
        <f t="shared" si="6"/>
        <v>办公集聚程度</v>
      </c>
      <c r="R15" s="1352" t="s">
        <v>65</v>
      </c>
      <c r="S15" s="1353">
        <f t="shared" si="0"/>
        <v>100</v>
      </c>
      <c r="T15" s="1352" t="s">
        <v>65</v>
      </c>
      <c r="U15" s="1353">
        <f t="shared" si="1"/>
        <v>100</v>
      </c>
      <c r="V15" s="1352" t="s">
        <v>65</v>
      </c>
      <c r="W15" s="1353">
        <f t="shared" si="2"/>
        <v>100</v>
      </c>
      <c r="X15" s="2223"/>
      <c r="Y15" s="3637"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645"/>
      <c r="Q16" s="2221"/>
      <c r="R16" s="1352"/>
      <c r="S16" s="1353"/>
      <c r="T16" s="1352"/>
      <c r="U16" s="1353"/>
      <c r="V16" s="1352"/>
      <c r="W16" s="1353"/>
      <c r="X16" s="2223"/>
      <c r="Y16" s="3638"/>
      <c r="Z16" s="2222"/>
      <c r="AA16" s="1355">
        <v>1</v>
      </c>
      <c r="AB16" s="1355">
        <v>1</v>
      </c>
      <c r="AC16" s="2339">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645"/>
      <c r="Q17" s="2221" t="str">
        <f>B17</f>
        <v>交通便捷度</v>
      </c>
      <c r="R17" s="1352" t="s">
        <v>65</v>
      </c>
      <c r="S17" s="1353">
        <f>F17</f>
        <v>100</v>
      </c>
      <c r="T17" s="1352" t="s">
        <v>65</v>
      </c>
      <c r="U17" s="1353">
        <f>H17</f>
        <v>100</v>
      </c>
      <c r="V17" s="1352" t="s">
        <v>65</v>
      </c>
      <c r="W17" s="1353">
        <f>J17</f>
        <v>100</v>
      </c>
      <c r="X17" s="2223"/>
      <c r="Y17" s="3638"/>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645"/>
      <c r="Q18" s="2221"/>
      <c r="R18" s="1352"/>
      <c r="S18" s="1353"/>
      <c r="T18" s="1352"/>
      <c r="U18" s="1353"/>
      <c r="V18" s="1352"/>
      <c r="W18" s="1353"/>
      <c r="X18" s="2223"/>
      <c r="Y18" s="3638"/>
      <c r="Z18" s="2222"/>
      <c r="AA18" s="1355">
        <v>1</v>
      </c>
      <c r="AB18" s="1355">
        <v>1</v>
      </c>
      <c r="AC18" s="2339">
        <v>1</v>
      </c>
    </row>
    <row r="19" spans="1:29" ht="40.5">
      <c r="A19" s="151"/>
      <c r="B19" s="1034" t="s">
        <v>2674</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645"/>
      <c r="Q19" s="2221" t="str">
        <f>B19</f>
        <v>公共配套设施</v>
      </c>
      <c r="R19" s="1352" t="s">
        <v>65</v>
      </c>
      <c r="S19" s="1353">
        <f>F19</f>
        <v>100</v>
      </c>
      <c r="T19" s="1352" t="s">
        <v>65</v>
      </c>
      <c r="U19" s="1353">
        <f>H19</f>
        <v>100</v>
      </c>
      <c r="V19" s="1352" t="s">
        <v>65</v>
      </c>
      <c r="W19" s="1353">
        <f>J19</f>
        <v>100</v>
      </c>
      <c r="X19" s="2223"/>
      <c r="Y19" s="3638"/>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645"/>
      <c r="Q20" s="2221"/>
      <c r="R20" s="1352"/>
      <c r="S20" s="1353"/>
      <c r="T20" s="1352"/>
      <c r="U20" s="1353"/>
      <c r="V20" s="1352"/>
      <c r="W20" s="1353"/>
      <c r="X20" s="2223"/>
      <c r="Y20" s="3638"/>
      <c r="Z20" s="2222"/>
      <c r="AA20" s="1355">
        <v>1</v>
      </c>
      <c r="AB20" s="1355">
        <v>1</v>
      </c>
      <c r="AC20" s="2339">
        <v>1</v>
      </c>
    </row>
    <row r="21" spans="1:29" ht="27">
      <c r="A21" s="151"/>
      <c r="B21" s="1036" t="s">
        <v>2675</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645"/>
      <c r="Q21" s="2748" t="str">
        <f>B21</f>
        <v>基础设施水平</v>
      </c>
      <c r="R21" s="1352" t="s">
        <v>65</v>
      </c>
      <c r="S21" s="1353">
        <f>F21</f>
        <v>100</v>
      </c>
      <c r="T21" s="1352" t="s">
        <v>65</v>
      </c>
      <c r="U21" s="1353">
        <f>H21</f>
        <v>100</v>
      </c>
      <c r="V21" s="1352" t="s">
        <v>65</v>
      </c>
      <c r="W21" s="1353">
        <f>J21</f>
        <v>100</v>
      </c>
      <c r="X21" s="2750"/>
      <c r="Y21" s="3638"/>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645"/>
      <c r="Q22" s="2748"/>
      <c r="R22" s="1352"/>
      <c r="S22" s="1353"/>
      <c r="T22" s="1352"/>
      <c r="U22" s="1353"/>
      <c r="V22" s="1352"/>
      <c r="W22" s="1353"/>
      <c r="X22" s="2750"/>
      <c r="Y22" s="3638"/>
      <c r="Z22" s="2749"/>
      <c r="AA22" s="1355">
        <v>1</v>
      </c>
      <c r="AB22" s="1355">
        <v>1</v>
      </c>
      <c r="AC22" s="2339">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645"/>
      <c r="Q23" s="2221" t="str">
        <f>B23</f>
        <v>环境质量</v>
      </c>
      <c r="R23" s="1352" t="s">
        <v>65</v>
      </c>
      <c r="S23" s="1353">
        <f>F23</f>
        <v>100</v>
      </c>
      <c r="T23" s="1352" t="s">
        <v>65</v>
      </c>
      <c r="U23" s="1353">
        <f>H23</f>
        <v>100</v>
      </c>
      <c r="V23" s="1352" t="s">
        <v>65</v>
      </c>
      <c r="W23" s="1353">
        <f>J23</f>
        <v>100</v>
      </c>
      <c r="X23" s="2223"/>
      <c r="Y23" s="3638"/>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645"/>
      <c r="Q24" s="2221"/>
      <c r="R24" s="1352"/>
      <c r="S24" s="1353"/>
      <c r="T24" s="1352"/>
      <c r="U24" s="1353"/>
      <c r="V24" s="1352"/>
      <c r="W24" s="1353"/>
      <c r="X24" s="2223"/>
      <c r="Y24" s="3638"/>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645"/>
      <c r="Q25" s="2221" t="str">
        <f>B25</f>
        <v>毗邻道路的类型与等级</v>
      </c>
      <c r="R25" s="1352" t="s">
        <v>65</v>
      </c>
      <c r="S25" s="1353">
        <f>F25</f>
        <v>100</v>
      </c>
      <c r="T25" s="1352" t="s">
        <v>65</v>
      </c>
      <c r="U25" s="1353">
        <f>H25</f>
        <v>100</v>
      </c>
      <c r="V25" s="1352" t="s">
        <v>65</v>
      </c>
      <c r="W25" s="1353">
        <f>J25</f>
        <v>100</v>
      </c>
      <c r="X25" s="2223"/>
      <c r="Y25" s="3638"/>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645"/>
      <c r="Q26" s="2221"/>
      <c r="R26" s="1352"/>
      <c r="S26" s="1353"/>
      <c r="T26" s="1352"/>
      <c r="U26" s="1353"/>
      <c r="V26" s="1352"/>
      <c r="W26" s="1353"/>
      <c r="X26" s="2223"/>
      <c r="Y26" s="3638"/>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645"/>
      <c r="Q27" s="2221" t="str">
        <f t="shared" ref="Q27:Q47" si="11">B27</f>
        <v>楼层</v>
      </c>
      <c r="R27" s="1352" t="s">
        <v>65</v>
      </c>
      <c r="S27" s="1353">
        <f>F27</f>
        <v>100</v>
      </c>
      <c r="T27" s="1352" t="s">
        <v>65</v>
      </c>
      <c r="U27" s="1353">
        <f>H27</f>
        <v>100</v>
      </c>
      <c r="V27" s="1352" t="s">
        <v>65</v>
      </c>
      <c r="W27" s="1353">
        <f>J27</f>
        <v>100</v>
      </c>
      <c r="X27" s="2223"/>
      <c r="Y27" s="3638"/>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645"/>
      <c r="Q28" s="2214" t="str">
        <f t="shared" si="11"/>
        <v>朝向</v>
      </c>
      <c r="R28" s="1342" t="s">
        <v>65</v>
      </c>
      <c r="S28" s="1343">
        <f>F28</f>
        <v>100</v>
      </c>
      <c r="T28" s="1342" t="s">
        <v>65</v>
      </c>
      <c r="U28" s="1343">
        <f>H28</f>
        <v>100</v>
      </c>
      <c r="V28" s="1342" t="s">
        <v>65</v>
      </c>
      <c r="W28" s="1343">
        <f>J28</f>
        <v>100</v>
      </c>
      <c r="X28" s="287"/>
      <c r="Y28" s="3638"/>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645"/>
      <c r="Q29" s="2221">
        <f t="shared" si="11"/>
        <v>111</v>
      </c>
      <c r="R29" s="1352" t="s">
        <v>65</v>
      </c>
      <c r="S29" s="1353">
        <f t="shared" ref="S29:S47" si="12">F29</f>
        <v>100</v>
      </c>
      <c r="T29" s="1352" t="s">
        <v>65</v>
      </c>
      <c r="U29" s="1353">
        <f t="shared" ref="U29:U47" si="13">H29</f>
        <v>100</v>
      </c>
      <c r="V29" s="1352" t="s">
        <v>65</v>
      </c>
      <c r="W29" s="1353">
        <f t="shared" ref="W29:W47" si="14">J29</f>
        <v>100</v>
      </c>
      <c r="X29" s="2223"/>
      <c r="Y29" s="3638"/>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645"/>
      <c r="Q30" s="2221">
        <f t="shared" si="11"/>
        <v>111</v>
      </c>
      <c r="R30" s="1352" t="s">
        <v>65</v>
      </c>
      <c r="S30" s="1353">
        <f t="shared" si="12"/>
        <v>100</v>
      </c>
      <c r="T30" s="1352" t="s">
        <v>65</v>
      </c>
      <c r="U30" s="1353">
        <f t="shared" si="13"/>
        <v>100</v>
      </c>
      <c r="V30" s="1352" t="s">
        <v>65</v>
      </c>
      <c r="W30" s="1353">
        <f t="shared" si="14"/>
        <v>100</v>
      </c>
      <c r="X30" s="2223"/>
      <c r="Y30" s="3638"/>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645"/>
      <c r="Q31" s="2221">
        <f t="shared" si="11"/>
        <v>111</v>
      </c>
      <c r="R31" s="1352" t="s">
        <v>65</v>
      </c>
      <c r="S31" s="1353">
        <f t="shared" si="12"/>
        <v>100</v>
      </c>
      <c r="T31" s="1352" t="s">
        <v>65</v>
      </c>
      <c r="U31" s="1353">
        <f t="shared" si="13"/>
        <v>100</v>
      </c>
      <c r="V31" s="1352" t="s">
        <v>65</v>
      </c>
      <c r="W31" s="1353">
        <f t="shared" si="14"/>
        <v>100</v>
      </c>
      <c r="X31" s="2223"/>
      <c r="Y31" s="3638"/>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645"/>
      <c r="Q32" s="2221">
        <f t="shared" si="11"/>
        <v>111</v>
      </c>
      <c r="R32" s="1352" t="s">
        <v>65</v>
      </c>
      <c r="S32" s="1353">
        <f t="shared" si="12"/>
        <v>100</v>
      </c>
      <c r="T32" s="1352" t="s">
        <v>65</v>
      </c>
      <c r="U32" s="1353">
        <f t="shared" si="13"/>
        <v>100</v>
      </c>
      <c r="V32" s="1352" t="s">
        <v>65</v>
      </c>
      <c r="W32" s="1353">
        <f t="shared" si="14"/>
        <v>100</v>
      </c>
      <c r="X32" s="2223"/>
      <c r="Y32" s="3638"/>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639" t="s">
        <v>1097</v>
      </c>
      <c r="Q33" s="2221" t="str">
        <f t="shared" si="11"/>
        <v>建筑类型</v>
      </c>
      <c r="R33" s="1352" t="s">
        <v>65</v>
      </c>
      <c r="S33" s="1353">
        <f t="shared" si="12"/>
        <v>100</v>
      </c>
      <c r="T33" s="1352" t="s">
        <v>65</v>
      </c>
      <c r="U33" s="1353">
        <f t="shared" si="13"/>
        <v>100</v>
      </c>
      <c r="V33" s="1352" t="s">
        <v>65</v>
      </c>
      <c r="W33" s="1353">
        <f t="shared" si="14"/>
        <v>100</v>
      </c>
      <c r="X33" s="2223"/>
      <c r="Y33" s="3642" t="s">
        <v>1097</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640"/>
      <c r="Q34" s="1359" t="str">
        <f t="shared" si="11"/>
        <v>项目建筑规模</v>
      </c>
      <c r="R34" s="1360" t="s">
        <v>65</v>
      </c>
      <c r="S34" s="1361" t="e">
        <f t="shared" si="12"/>
        <v>#N/A</v>
      </c>
      <c r="T34" s="1360" t="s">
        <v>65</v>
      </c>
      <c r="U34" s="1361" t="e">
        <f t="shared" si="13"/>
        <v>#N/A</v>
      </c>
      <c r="V34" s="1360" t="s">
        <v>65</v>
      </c>
      <c r="W34" s="1361" t="e">
        <f t="shared" si="14"/>
        <v>#N/A</v>
      </c>
      <c r="X34" s="1362"/>
      <c r="Y34" s="3642"/>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640"/>
      <c r="Q35" s="2221" t="str">
        <f t="shared" si="11"/>
        <v>建筑结构</v>
      </c>
      <c r="R35" s="1352" t="s">
        <v>65</v>
      </c>
      <c r="S35" s="1353">
        <f t="shared" si="12"/>
        <v>100</v>
      </c>
      <c r="T35" s="1352" t="s">
        <v>65</v>
      </c>
      <c r="U35" s="1353">
        <f t="shared" si="13"/>
        <v>100</v>
      </c>
      <c r="V35" s="1352" t="s">
        <v>65</v>
      </c>
      <c r="W35" s="1353">
        <f t="shared" si="14"/>
        <v>100</v>
      </c>
      <c r="X35" s="2223"/>
      <c r="Y35" s="3642"/>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640"/>
      <c r="Q36" s="2221" t="str">
        <f t="shared" si="11"/>
        <v>公共部分装修</v>
      </c>
      <c r="R36" s="1352" t="s">
        <v>65</v>
      </c>
      <c r="S36" s="1353">
        <f t="shared" si="12"/>
        <v>100</v>
      </c>
      <c r="T36" s="1352" t="s">
        <v>65</v>
      </c>
      <c r="U36" s="1353">
        <f t="shared" si="13"/>
        <v>100</v>
      </c>
      <c r="V36" s="1352" t="s">
        <v>65</v>
      </c>
      <c r="W36" s="1353">
        <f t="shared" si="14"/>
        <v>100</v>
      </c>
      <c r="X36" s="2223"/>
      <c r="Y36" s="3642"/>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640"/>
      <c r="Q37" s="2221" t="str">
        <f t="shared" si="11"/>
        <v>成新度</v>
      </c>
      <c r="R37" s="1352" t="s">
        <v>65</v>
      </c>
      <c r="S37" s="1353" t="e">
        <f t="shared" si="12"/>
        <v>#N/A</v>
      </c>
      <c r="T37" s="1352" t="s">
        <v>65</v>
      </c>
      <c r="U37" s="1353" t="e">
        <f t="shared" si="13"/>
        <v>#N/A</v>
      </c>
      <c r="V37" s="1352" t="s">
        <v>65</v>
      </c>
      <c r="W37" s="1353" t="e">
        <f t="shared" si="14"/>
        <v>#N/A</v>
      </c>
      <c r="X37" s="2223"/>
      <c r="Y37" s="3642"/>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640"/>
      <c r="Q38" s="2214" t="str">
        <f t="shared" si="11"/>
        <v>写字楼等级</v>
      </c>
      <c r="R38" s="1342" t="s">
        <v>65</v>
      </c>
      <c r="S38" s="1343">
        <f t="shared" si="12"/>
        <v>100</v>
      </c>
      <c r="T38" s="1342" t="s">
        <v>65</v>
      </c>
      <c r="U38" s="1343">
        <f t="shared" si="13"/>
        <v>100</v>
      </c>
      <c r="V38" s="1342" t="s">
        <v>65</v>
      </c>
      <c r="W38" s="1343">
        <f t="shared" si="14"/>
        <v>100</v>
      </c>
      <c r="X38" s="287"/>
      <c r="Y38" s="3642"/>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640" t="s">
        <v>70</v>
      </c>
      <c r="Q39" s="2221" t="str">
        <f t="shared" si="11"/>
        <v>物业管理</v>
      </c>
      <c r="R39" s="1352" t="s">
        <v>65</v>
      </c>
      <c r="S39" s="1353">
        <f t="shared" si="12"/>
        <v>100</v>
      </c>
      <c r="T39" s="1352" t="s">
        <v>65</v>
      </c>
      <c r="U39" s="1353">
        <f t="shared" si="13"/>
        <v>100</v>
      </c>
      <c r="V39" s="1352" t="s">
        <v>65</v>
      </c>
      <c r="W39" s="1353">
        <f t="shared" si="14"/>
        <v>100</v>
      </c>
      <c r="X39" s="2223"/>
      <c r="Y39" s="3642" t="s">
        <v>70</v>
      </c>
      <c r="Z39" s="2222" t="str">
        <f t="shared" si="15"/>
        <v>物业管理</v>
      </c>
      <c r="AA39" s="1355">
        <f t="shared" si="3"/>
        <v>1</v>
      </c>
      <c r="AB39" s="1355">
        <f t="shared" si="4"/>
        <v>1</v>
      </c>
      <c r="AC39" s="2339">
        <f t="shared" si="5"/>
        <v>1</v>
      </c>
    </row>
    <row r="40" spans="1:29" ht="15">
      <c r="A40" s="161"/>
      <c r="B40" s="12" t="s">
        <v>2667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640"/>
      <c r="Q40" s="2221" t="str">
        <f t="shared" si="11"/>
        <v>市政基础设施</v>
      </c>
      <c r="R40" s="1352" t="s">
        <v>65</v>
      </c>
      <c r="S40" s="1353">
        <f t="shared" si="12"/>
        <v>100</v>
      </c>
      <c r="T40" s="1352" t="s">
        <v>65</v>
      </c>
      <c r="U40" s="1353">
        <f t="shared" si="13"/>
        <v>100</v>
      </c>
      <c r="V40" s="1352" t="s">
        <v>65</v>
      </c>
      <c r="W40" s="1353">
        <f t="shared" si="14"/>
        <v>100</v>
      </c>
      <c r="X40" s="2223"/>
      <c r="Y40" s="3642"/>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640"/>
      <c r="Q41" s="2221" t="str">
        <f t="shared" si="11"/>
        <v>层高</v>
      </c>
      <c r="R41" s="1352" t="s">
        <v>65</v>
      </c>
      <c r="S41" s="1353">
        <f t="shared" si="12"/>
        <v>100</v>
      </c>
      <c r="T41" s="1352" t="s">
        <v>65</v>
      </c>
      <c r="U41" s="1353">
        <f t="shared" si="13"/>
        <v>100</v>
      </c>
      <c r="V41" s="1352" t="s">
        <v>65</v>
      </c>
      <c r="W41" s="1353">
        <f t="shared" si="14"/>
        <v>100</v>
      </c>
      <c r="X41" s="2223"/>
      <c r="Y41" s="3642"/>
      <c r="Z41" s="2222" t="str">
        <f t="shared" si="15"/>
        <v>层高</v>
      </c>
      <c r="AA41" s="1355">
        <f t="shared" si="3"/>
        <v>1</v>
      </c>
      <c r="AB41" s="1355">
        <f t="shared" si="4"/>
        <v>1</v>
      </c>
      <c r="AC41" s="2339">
        <f t="shared" si="5"/>
        <v>1</v>
      </c>
    </row>
    <row r="42" spans="1:29" s="1039" customFormat="1" ht="14.25">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640"/>
      <c r="Q42" s="1359" t="str">
        <f t="shared" si="11"/>
        <v>单套建筑面积</v>
      </c>
      <c r="R42" s="1360" t="s">
        <v>65</v>
      </c>
      <c r="S42" s="1361">
        <f t="shared" si="12"/>
        <v>100</v>
      </c>
      <c r="T42" s="1360" t="s">
        <v>65</v>
      </c>
      <c r="U42" s="1361">
        <f t="shared" si="13"/>
        <v>100</v>
      </c>
      <c r="V42" s="1360" t="s">
        <v>65</v>
      </c>
      <c r="W42" s="1361">
        <f t="shared" si="14"/>
        <v>100</v>
      </c>
      <c r="X42" s="1362"/>
      <c r="Y42" s="3642"/>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640"/>
      <c r="Q43" s="2221" t="str">
        <f t="shared" si="11"/>
        <v>内部装修</v>
      </c>
      <c r="R43" s="1352" t="s">
        <v>65</v>
      </c>
      <c r="S43" s="1353">
        <f t="shared" si="12"/>
        <v>100</v>
      </c>
      <c r="T43" s="1352" t="s">
        <v>65</v>
      </c>
      <c r="U43" s="1353">
        <f t="shared" si="13"/>
        <v>100</v>
      </c>
      <c r="V43" s="1352" t="s">
        <v>65</v>
      </c>
      <c r="W43" s="1353">
        <f t="shared" si="14"/>
        <v>100</v>
      </c>
      <c r="X43" s="2223"/>
      <c r="Y43" s="3642"/>
      <c r="Z43" s="2222" t="str">
        <f t="shared" si="15"/>
        <v>内部装修</v>
      </c>
      <c r="AA43" s="1355">
        <f t="shared" si="3"/>
        <v>1</v>
      </c>
      <c r="AB43" s="1355">
        <f t="shared" si="4"/>
        <v>1</v>
      </c>
      <c r="AC43" s="2339">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640"/>
      <c r="Q44" s="2221" t="str">
        <f t="shared" si="11"/>
        <v>内部装修维护情况</v>
      </c>
      <c r="R44" s="1352" t="s">
        <v>65</v>
      </c>
      <c r="S44" s="1353">
        <f t="shared" si="12"/>
        <v>100</v>
      </c>
      <c r="T44" s="1352" t="s">
        <v>65</v>
      </c>
      <c r="U44" s="1353">
        <f t="shared" si="13"/>
        <v>100</v>
      </c>
      <c r="V44" s="1352" t="s">
        <v>65</v>
      </c>
      <c r="W44" s="1353">
        <f t="shared" si="14"/>
        <v>100</v>
      </c>
      <c r="X44" s="2223"/>
      <c r="Y44" s="3642"/>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640"/>
      <c r="Q45" s="2214">
        <f t="shared" si="11"/>
        <v>111</v>
      </c>
      <c r="R45" s="1342" t="s">
        <v>65</v>
      </c>
      <c r="S45" s="1343">
        <f t="shared" si="12"/>
        <v>100</v>
      </c>
      <c r="T45" s="1342" t="s">
        <v>65</v>
      </c>
      <c r="U45" s="1343">
        <f t="shared" si="13"/>
        <v>100</v>
      </c>
      <c r="V45" s="1342" t="s">
        <v>65</v>
      </c>
      <c r="W45" s="1343">
        <f t="shared" si="14"/>
        <v>100</v>
      </c>
      <c r="X45" s="287"/>
      <c r="Y45" s="3642"/>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640"/>
      <c r="Q46" s="2221">
        <f t="shared" si="11"/>
        <v>111</v>
      </c>
      <c r="R46" s="1352" t="s">
        <v>65</v>
      </c>
      <c r="S46" s="1353">
        <f t="shared" si="12"/>
        <v>100</v>
      </c>
      <c r="T46" s="1352" t="s">
        <v>65</v>
      </c>
      <c r="U46" s="1353">
        <f t="shared" si="13"/>
        <v>100</v>
      </c>
      <c r="V46" s="1352" t="s">
        <v>65</v>
      </c>
      <c r="W46" s="1353">
        <f t="shared" si="14"/>
        <v>100</v>
      </c>
      <c r="X46" s="2223"/>
      <c r="Y46" s="3642"/>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641"/>
      <c r="Q47" s="2221">
        <f t="shared" si="11"/>
        <v>111</v>
      </c>
      <c r="R47" s="1352" t="s">
        <v>65</v>
      </c>
      <c r="S47" s="1353">
        <f t="shared" si="12"/>
        <v>100</v>
      </c>
      <c r="T47" s="1352" t="s">
        <v>65</v>
      </c>
      <c r="U47" s="1353">
        <f t="shared" si="13"/>
        <v>100</v>
      </c>
      <c r="V47" s="1352" t="s">
        <v>65</v>
      </c>
      <c r="W47" s="1353">
        <f t="shared" si="14"/>
        <v>100</v>
      </c>
      <c r="X47" s="2223"/>
      <c r="Y47" s="3643"/>
      <c r="Z47" s="2222">
        <f t="shared" si="15"/>
        <v>111</v>
      </c>
      <c r="AA47" s="1355">
        <f t="shared" si="3"/>
        <v>1</v>
      </c>
      <c r="AB47" s="1355">
        <f t="shared" si="4"/>
        <v>1</v>
      </c>
      <c r="AC47" s="2339">
        <f t="shared" si="5"/>
        <v>1</v>
      </c>
    </row>
    <row r="48" spans="1:29" ht="15">
      <c r="A48" s="163" t="s">
        <v>1040</v>
      </c>
      <c r="B48" s="164"/>
      <c r="C48" s="2838" t="s">
        <v>23</v>
      </c>
      <c r="D48" s="2839"/>
      <c r="E48" s="2840"/>
      <c r="F48" s="2841"/>
      <c r="G48" s="2842"/>
      <c r="H48" s="2843"/>
      <c r="I48" s="2840"/>
      <c r="J48" s="828"/>
      <c r="K48" s="1393"/>
      <c r="L48" s="2305"/>
      <c r="M48" s="2298"/>
      <c r="N48" s="2298"/>
      <c r="O48" s="2298"/>
      <c r="P48" s="3617" t="str">
        <f>A48</f>
        <v>成交单价（元/平方米）</v>
      </c>
      <c r="Q48" s="3635"/>
      <c r="R48" s="3636">
        <f>E48</f>
        <v>0</v>
      </c>
      <c r="S48" s="3636"/>
      <c r="T48" s="3636">
        <f>G48</f>
        <v>0</v>
      </c>
      <c r="U48" s="3636"/>
      <c r="V48" s="3636">
        <f>I48</f>
        <v>0</v>
      </c>
      <c r="W48" s="3636"/>
      <c r="X48" s="156"/>
      <c r="Y48" s="1366"/>
      <c r="Z48" s="156"/>
      <c r="AA48" s="156"/>
      <c r="AB48" s="156"/>
      <c r="AC48" s="209"/>
    </row>
    <row r="49" spans="1:29" ht="15.75" thickBot="1">
      <c r="A49" s="165" t="s">
        <v>1041</v>
      </c>
      <c r="B49" s="166"/>
      <c r="C49" s="2844" t="e">
        <f>R50</f>
        <v>#DIV/0!</v>
      </c>
      <c r="D49" s="2845"/>
      <c r="E49" s="2846" t="e">
        <f>R49</f>
        <v>#DIV/0!</v>
      </c>
      <c r="F49" s="2846"/>
      <c r="G49" s="2844" t="e">
        <f>T49</f>
        <v>#DIV/0!</v>
      </c>
      <c r="H49" s="2845"/>
      <c r="I49" s="2846" t="e">
        <f>V49</f>
        <v>#DIV/0!</v>
      </c>
      <c r="J49" s="832"/>
      <c r="K49" s="1394"/>
      <c r="L49" s="2305"/>
      <c r="M49" s="2298"/>
      <c r="N49" s="2298"/>
      <c r="O49" s="2298"/>
      <c r="P49" s="3617" t="str">
        <f>A49</f>
        <v>比较价值（元/平方米）</v>
      </c>
      <c r="Q49" s="3635"/>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156"/>
      <c r="Y49" s="156"/>
      <c r="Z49" s="156"/>
      <c r="AA49" s="156"/>
      <c r="AB49" s="156"/>
      <c r="AC49" s="209"/>
    </row>
    <row r="50" spans="1:29" ht="15.75" thickBot="1">
      <c r="A50" s="115" t="s">
        <v>3032</v>
      </c>
      <c r="B50" s="116"/>
      <c r="C50" s="2848" t="e">
        <f>R50</f>
        <v>#DIV/0!</v>
      </c>
      <c r="D50" s="2848"/>
      <c r="E50" s="2848"/>
      <c r="F50" s="2848"/>
      <c r="G50" s="2848"/>
      <c r="H50" s="2848"/>
      <c r="I50" s="2848"/>
      <c r="J50" s="837"/>
      <c r="K50" s="1395"/>
      <c r="L50" s="2305"/>
      <c r="M50" s="2298"/>
      <c r="N50" s="2298"/>
      <c r="O50" s="2298"/>
      <c r="P50" s="3658" t="str">
        <f>A50</f>
        <v>估价对象XX用房的比较价值（楼面单价，元/平方米）</v>
      </c>
      <c r="Q50" s="3659"/>
      <c r="R50" s="3660" t="e">
        <f>IF(F1="售价",ROUND(AVERAGE(R49:V49),0),ROUND(AVERAGE(R49:V49),1))</f>
        <v>#DIV/0!</v>
      </c>
      <c r="S50" s="3660"/>
      <c r="T50" s="3660"/>
      <c r="U50" s="3660"/>
      <c r="V50" s="3660"/>
      <c r="W50" s="3660"/>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ht="15">
      <c r="A59" s="848" t="s">
        <v>2807</v>
      </c>
      <c r="B59" s="849"/>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5"/>
      <c r="B60" s="1046"/>
      <c r="C60" s="3044">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2676</v>
      </c>
      <c r="C83" s="213" t="s">
        <v>2669</v>
      </c>
      <c r="D83" s="213" t="s">
        <v>2670</v>
      </c>
      <c r="E83" s="213" t="s">
        <v>2671</v>
      </c>
      <c r="F83" s="213" t="s">
        <v>2672</v>
      </c>
      <c r="G83" s="213" t="s">
        <v>2673</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2651</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27.75"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1110</v>
      </c>
      <c r="B1" s="3123" t="s">
        <v>1111</v>
      </c>
      <c r="C1" s="3117" t="s">
        <v>1112</v>
      </c>
      <c r="D1" s="3108"/>
      <c r="E1" s="3113"/>
      <c r="F1" s="3110"/>
      <c r="G1" s="3112" t="s">
        <v>1113</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1114</v>
      </c>
      <c r="B2" s="2849" t="e">
        <f ca="1">IF(C2="——",ROUND(C43*D3/10000,0),ROUND(C43*D3/10000,0)-D2)</f>
        <v>#DIV/0!</v>
      </c>
      <c r="C2" s="3102"/>
      <c r="D2" s="2344" t="e">
        <f ca="1">SUMIF(INDIRECT("'"&amp;F2&amp;"'"&amp;"!A:A"),"承租人权益价值",INDIRECT("'"&amp;F2&amp;"'"&amp;"!c:c"))</f>
        <v>#REF!</v>
      </c>
      <c r="E2" s="3103" t="s">
        <v>872</v>
      </c>
      <c r="F2" s="3104"/>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20083.5</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618" t="s">
        <v>1118</v>
      </c>
      <c r="D4" s="3619"/>
      <c r="E4" s="3620" t="s">
        <v>1119</v>
      </c>
      <c r="F4" s="3621"/>
      <c r="G4" s="3618" t="s">
        <v>1120</v>
      </c>
      <c r="H4" s="3619"/>
      <c r="I4" s="3618" t="s">
        <v>1121</v>
      </c>
      <c r="J4" s="3619"/>
      <c r="K4" s="187" t="s">
        <v>1122</v>
      </c>
      <c r="L4" s="2297"/>
      <c r="M4" s="2298"/>
      <c r="N4" s="2298"/>
      <c r="O4" s="2298"/>
      <c r="P4" s="3622" t="s">
        <v>1117</v>
      </c>
      <c r="Q4" s="3623"/>
      <c r="R4" s="3609" t="s">
        <v>1119</v>
      </c>
      <c r="S4" s="3610"/>
      <c r="T4" s="3609" t="s">
        <v>1120</v>
      </c>
      <c r="U4" s="3610"/>
      <c r="V4" s="3630" t="s">
        <v>1121</v>
      </c>
      <c r="W4" s="3630"/>
      <c r="X4" s="1340"/>
      <c r="Y4" s="3609" t="s">
        <v>1117</v>
      </c>
      <c r="Z4" s="3610"/>
      <c r="AA4" s="3604" t="s">
        <v>1119</v>
      </c>
      <c r="AB4" s="3605" t="s">
        <v>1120</v>
      </c>
      <c r="AC4" s="3604" t="s">
        <v>1121</v>
      </c>
    </row>
    <row r="5" spans="1:29">
      <c r="A5" s="146"/>
      <c r="B5" s="147"/>
      <c r="C5" s="3568" t="s">
        <v>1123</v>
      </c>
      <c r="D5" s="3569"/>
      <c r="E5" s="3555" t="s">
        <v>1124</v>
      </c>
      <c r="F5" s="3556"/>
      <c r="G5" s="3568" t="s">
        <v>1125</v>
      </c>
      <c r="H5" s="3569"/>
      <c r="I5" s="3568" t="s">
        <v>1126</v>
      </c>
      <c r="J5" s="3569"/>
      <c r="K5" s="187"/>
      <c r="L5" s="2297"/>
      <c r="M5" s="2298"/>
      <c r="N5" s="2298"/>
      <c r="O5" s="2298"/>
      <c r="P5" s="3624"/>
      <c r="Q5" s="3625"/>
      <c r="R5" s="3611"/>
      <c r="S5" s="3612"/>
      <c r="T5" s="3611"/>
      <c r="U5" s="3612"/>
      <c r="V5" s="3630"/>
      <c r="W5" s="3630"/>
      <c r="X5" s="1340"/>
      <c r="Y5" s="3611"/>
      <c r="Z5" s="3612"/>
      <c r="AA5" s="3605"/>
      <c r="AB5" s="3605"/>
      <c r="AC5" s="3605"/>
    </row>
    <row r="6" spans="1:29" ht="14.25" thickBot="1">
      <c r="A6" s="148"/>
      <c r="B6" s="149"/>
      <c r="C6" s="3613" t="s">
        <v>1127</v>
      </c>
      <c r="D6" s="3614"/>
      <c r="E6" s="3615" t="s">
        <v>1127</v>
      </c>
      <c r="F6" s="3616"/>
      <c r="G6" s="3613" t="s">
        <v>1127</v>
      </c>
      <c r="H6" s="3614"/>
      <c r="I6" s="3613" t="s">
        <v>1127</v>
      </c>
      <c r="J6" s="3614"/>
      <c r="K6" s="187" t="s">
        <v>1128</v>
      </c>
      <c r="L6" s="2297"/>
      <c r="M6" s="2298"/>
      <c r="N6" s="2298"/>
      <c r="O6" s="2298"/>
      <c r="P6" s="3626"/>
      <c r="Q6" s="3627"/>
      <c r="R6" s="3611"/>
      <c r="S6" s="3612"/>
      <c r="T6" s="3628"/>
      <c r="U6" s="3629"/>
      <c r="V6" s="3630"/>
      <c r="W6" s="3630"/>
      <c r="X6" s="1340"/>
      <c r="Y6" s="3628"/>
      <c r="Z6" s="3629"/>
      <c r="AA6" s="3606"/>
      <c r="AB6" s="3606"/>
      <c r="AC6" s="3606"/>
    </row>
    <row r="7" spans="1:29" s="40" customFormat="1" ht="15" thickBot="1">
      <c r="A7" s="1014" t="s">
        <v>1129</v>
      </c>
      <c r="B7" s="1015"/>
      <c r="C7" s="753">
        <f>'数据-取费表'!B2</f>
        <v>42921</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607" t="s">
        <v>1129</v>
      </c>
      <c r="Q7" s="3631"/>
      <c r="R7" s="1342" t="s">
        <v>65</v>
      </c>
      <c r="S7" s="1343">
        <f t="shared" ref="S7:S15" si="0">F7</f>
        <v>0</v>
      </c>
      <c r="T7" s="1342" t="s">
        <v>65</v>
      </c>
      <c r="U7" s="1343">
        <f t="shared" ref="U7:U15" si="1">H7</f>
        <v>0</v>
      </c>
      <c r="V7" s="1342" t="s">
        <v>65</v>
      </c>
      <c r="W7" s="1343">
        <f t="shared" ref="W7:W15" si="2">J7</f>
        <v>0</v>
      </c>
      <c r="X7" s="287"/>
      <c r="Y7" s="3607" t="s">
        <v>1129</v>
      </c>
      <c r="Z7" s="3608"/>
      <c r="AA7" s="1344" t="e">
        <f>D7/F7</f>
        <v>#DIV/0!</v>
      </c>
      <c r="AB7" s="1344" t="e">
        <f>D7/H7</f>
        <v>#DIV/0!</v>
      </c>
      <c r="AC7" s="1344" t="e">
        <f>D7/J7</f>
        <v>#DIV/0!</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607" t="s">
        <v>1025</v>
      </c>
      <c r="Q8" s="3608"/>
      <c r="R8" s="1342" t="s">
        <v>65</v>
      </c>
      <c r="S8" s="1343">
        <f t="shared" si="0"/>
        <v>0</v>
      </c>
      <c r="T8" s="1342" t="s">
        <v>65</v>
      </c>
      <c r="U8" s="1343">
        <f t="shared" si="1"/>
        <v>0</v>
      </c>
      <c r="V8" s="1342" t="s">
        <v>65</v>
      </c>
      <c r="W8" s="1343">
        <f t="shared" si="2"/>
        <v>0</v>
      </c>
      <c r="X8" s="287"/>
      <c r="Y8" s="3607" t="s">
        <v>1025</v>
      </c>
      <c r="Z8" s="3608"/>
      <c r="AA8" s="1344" t="e">
        <f t="shared" ref="AA8:AA40" si="3">D8/F8</f>
        <v>#DIV/0!</v>
      </c>
      <c r="AB8" s="1344" t="e">
        <f t="shared" ref="AB8:AB40" si="4">D8/H8</f>
        <v>#DIV/0!</v>
      </c>
      <c r="AC8" s="1344" t="e">
        <f t="shared" ref="AC8:AC40" si="5">D8/J8</f>
        <v>#DIV/0!</v>
      </c>
    </row>
    <row r="9" spans="1:29" s="40" customFormat="1" ht="14.25">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635" t="s">
        <v>67</v>
      </c>
      <c r="Q9" s="7" t="str">
        <f t="shared" ref="Q9:Q15" si="6">B9</f>
        <v>用途</v>
      </c>
      <c r="R9" s="1342" t="s">
        <v>65</v>
      </c>
      <c r="S9" s="1343">
        <f t="shared" si="0"/>
        <v>100</v>
      </c>
      <c r="T9" s="1342" t="s">
        <v>65</v>
      </c>
      <c r="U9" s="1343">
        <f t="shared" si="1"/>
        <v>100</v>
      </c>
      <c r="V9" s="1342" t="s">
        <v>65</v>
      </c>
      <c r="W9" s="1343">
        <f t="shared" si="2"/>
        <v>100</v>
      </c>
      <c r="X9" s="287"/>
      <c r="Y9" s="3404"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635"/>
      <c r="Q10" s="7" t="str">
        <f t="shared" si="6"/>
        <v>土地使用年限（年）</v>
      </c>
      <c r="R10" s="1342" t="s">
        <v>65</v>
      </c>
      <c r="S10" s="1343">
        <f t="shared" si="0"/>
        <v>100</v>
      </c>
      <c r="T10" s="1342" t="s">
        <v>65</v>
      </c>
      <c r="U10" s="1343">
        <f t="shared" si="1"/>
        <v>100</v>
      </c>
      <c r="V10" s="1342" t="s">
        <v>65</v>
      </c>
      <c r="W10" s="1343">
        <f t="shared" si="2"/>
        <v>100</v>
      </c>
      <c r="X10" s="287"/>
      <c r="Y10" s="3404"/>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635"/>
      <c r="Q11" s="7" t="str">
        <f t="shared" si="6"/>
        <v>容积率</v>
      </c>
      <c r="R11" s="1342" t="s">
        <v>65</v>
      </c>
      <c r="S11" s="1343" t="e">
        <f t="shared" si="0"/>
        <v>#N/A</v>
      </c>
      <c r="T11" s="1342" t="s">
        <v>65</v>
      </c>
      <c r="U11" s="1343" t="e">
        <f t="shared" si="1"/>
        <v>#N/A</v>
      </c>
      <c r="V11" s="1342" t="s">
        <v>65</v>
      </c>
      <c r="W11" s="1343" t="e">
        <f t="shared" si="2"/>
        <v>#N/A</v>
      </c>
      <c r="X11" s="287"/>
      <c r="Y11" s="3404"/>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635"/>
      <c r="Q12" s="7">
        <f t="shared" si="6"/>
        <v>111</v>
      </c>
      <c r="R12" s="1342" t="s">
        <v>65</v>
      </c>
      <c r="S12" s="1343">
        <f t="shared" si="0"/>
        <v>100</v>
      </c>
      <c r="T12" s="1342" t="s">
        <v>65</v>
      </c>
      <c r="U12" s="1343">
        <f t="shared" si="1"/>
        <v>100</v>
      </c>
      <c r="V12" s="1342" t="s">
        <v>65</v>
      </c>
      <c r="W12" s="1343">
        <f t="shared" si="2"/>
        <v>100</v>
      </c>
      <c r="X12" s="287"/>
      <c r="Y12" s="3404"/>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635"/>
      <c r="Q13" s="7">
        <f t="shared" si="6"/>
        <v>111</v>
      </c>
      <c r="R13" s="1342" t="s">
        <v>65</v>
      </c>
      <c r="S13" s="1343">
        <f t="shared" si="0"/>
        <v>100</v>
      </c>
      <c r="T13" s="1342" t="s">
        <v>65</v>
      </c>
      <c r="U13" s="1343">
        <f t="shared" si="1"/>
        <v>100</v>
      </c>
      <c r="V13" s="1342" t="s">
        <v>65</v>
      </c>
      <c r="W13" s="1343">
        <f t="shared" si="2"/>
        <v>100</v>
      </c>
      <c r="X13" s="287"/>
      <c r="Y13" s="3404"/>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635"/>
      <c r="Q14" s="7">
        <f t="shared" si="6"/>
        <v>111</v>
      </c>
      <c r="R14" s="1342" t="s">
        <v>65</v>
      </c>
      <c r="S14" s="1343">
        <f t="shared" si="0"/>
        <v>100</v>
      </c>
      <c r="T14" s="1342" t="s">
        <v>65</v>
      </c>
      <c r="U14" s="1343">
        <f t="shared" si="1"/>
        <v>100</v>
      </c>
      <c r="V14" s="1342" t="s">
        <v>65</v>
      </c>
      <c r="W14" s="1343">
        <f t="shared" si="2"/>
        <v>100</v>
      </c>
      <c r="X14" s="287"/>
      <c r="Y14" s="3404"/>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637" t="s">
        <v>69</v>
      </c>
      <c r="Q15" s="1351" t="str">
        <f t="shared" si="6"/>
        <v>产业集聚程度</v>
      </c>
      <c r="R15" s="1352" t="s">
        <v>65</v>
      </c>
      <c r="S15" s="1353">
        <f t="shared" si="0"/>
        <v>100</v>
      </c>
      <c r="T15" s="1352" t="s">
        <v>65</v>
      </c>
      <c r="U15" s="1353">
        <f t="shared" si="1"/>
        <v>100</v>
      </c>
      <c r="V15" s="1352" t="s">
        <v>65</v>
      </c>
      <c r="W15" s="1353">
        <f t="shared" si="2"/>
        <v>100</v>
      </c>
      <c r="X15" s="1340"/>
      <c r="Y15" s="3637"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638"/>
      <c r="Q16" s="1351"/>
      <c r="R16" s="1352"/>
      <c r="S16" s="1353"/>
      <c r="T16" s="1352"/>
      <c r="U16" s="1353"/>
      <c r="V16" s="1352"/>
      <c r="W16" s="1353"/>
      <c r="X16" s="1340"/>
      <c r="Y16" s="3638"/>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638"/>
      <c r="Q17" s="1351" t="str">
        <f>B17</f>
        <v>交通便捷度</v>
      </c>
      <c r="R17" s="1352" t="s">
        <v>65</v>
      </c>
      <c r="S17" s="1353">
        <f>F17</f>
        <v>100</v>
      </c>
      <c r="T17" s="1352" t="s">
        <v>65</v>
      </c>
      <c r="U17" s="1353">
        <f>H17</f>
        <v>100</v>
      </c>
      <c r="V17" s="1352" t="s">
        <v>65</v>
      </c>
      <c r="W17" s="1353">
        <f>J17</f>
        <v>100</v>
      </c>
      <c r="X17" s="1340"/>
      <c r="Y17" s="363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638"/>
      <c r="Q18" s="1351"/>
      <c r="R18" s="1352"/>
      <c r="S18" s="1353"/>
      <c r="T18" s="1352"/>
      <c r="U18" s="1353"/>
      <c r="V18" s="1352"/>
      <c r="W18" s="1353"/>
      <c r="X18" s="1340"/>
      <c r="Y18" s="3638"/>
      <c r="Z18" s="1354"/>
      <c r="AA18" s="1355">
        <v>1</v>
      </c>
      <c r="AB18" s="1355">
        <v>1</v>
      </c>
      <c r="AC18" s="1355">
        <v>1</v>
      </c>
    </row>
    <row r="19" spans="1:29" ht="40.5">
      <c r="A19" s="151"/>
      <c r="B19" s="1356" t="s">
        <v>2674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638"/>
      <c r="Q19" s="1351" t="str">
        <f>B19</f>
        <v>公共配套设施</v>
      </c>
      <c r="R19" s="1352" t="s">
        <v>65</v>
      </c>
      <c r="S19" s="1353">
        <f>F19</f>
        <v>100</v>
      </c>
      <c r="T19" s="1352" t="s">
        <v>65</v>
      </c>
      <c r="U19" s="1353">
        <f>H19</f>
        <v>100</v>
      </c>
      <c r="V19" s="1352" t="s">
        <v>65</v>
      </c>
      <c r="W19" s="1353">
        <f>J19</f>
        <v>100</v>
      </c>
      <c r="X19" s="1340"/>
      <c r="Y19" s="363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638"/>
      <c r="Q20" s="1351"/>
      <c r="R20" s="1352"/>
      <c r="S20" s="1353"/>
      <c r="T20" s="1352"/>
      <c r="U20" s="1353"/>
      <c r="V20" s="1352"/>
      <c r="W20" s="1353"/>
      <c r="X20" s="1340"/>
      <c r="Y20" s="3638"/>
      <c r="Z20" s="1354"/>
      <c r="AA20" s="1355">
        <v>1</v>
      </c>
      <c r="AB20" s="1355">
        <v>1</v>
      </c>
      <c r="AC20" s="1355">
        <v>1</v>
      </c>
    </row>
    <row r="21" spans="1:29" ht="40.5">
      <c r="A21" s="151"/>
      <c r="B21" s="1412" t="s">
        <v>2677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638"/>
      <c r="Q21" s="2748" t="str">
        <f>B21</f>
        <v>基础设施水平</v>
      </c>
      <c r="R21" s="1352" t="s">
        <v>65</v>
      </c>
      <c r="S21" s="1353">
        <f>F21</f>
        <v>100</v>
      </c>
      <c r="T21" s="1352" t="s">
        <v>65</v>
      </c>
      <c r="U21" s="1353">
        <f>H21</f>
        <v>100</v>
      </c>
      <c r="V21" s="1352" t="s">
        <v>65</v>
      </c>
      <c r="W21" s="1353">
        <f>J21</f>
        <v>100</v>
      </c>
      <c r="X21" s="2750"/>
      <c r="Y21" s="3638"/>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638"/>
      <c r="Q22" s="2748"/>
      <c r="R22" s="1352"/>
      <c r="S22" s="1353"/>
      <c r="T22" s="1352"/>
      <c r="U22" s="1353"/>
      <c r="V22" s="1352"/>
      <c r="W22" s="1353"/>
      <c r="X22" s="2750"/>
      <c r="Y22" s="3638"/>
      <c r="Z22" s="2749"/>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638"/>
      <c r="Q23" s="1351" t="str">
        <f>B23</f>
        <v>环境质量</v>
      </c>
      <c r="R23" s="1352" t="s">
        <v>65</v>
      </c>
      <c r="S23" s="1353">
        <f>F23</f>
        <v>100</v>
      </c>
      <c r="T23" s="1352" t="s">
        <v>65</v>
      </c>
      <c r="U23" s="1353">
        <f>H23</f>
        <v>100</v>
      </c>
      <c r="V23" s="1352" t="s">
        <v>65</v>
      </c>
      <c r="W23" s="1353">
        <f>J23</f>
        <v>100</v>
      </c>
      <c r="X23" s="1340"/>
      <c r="Y23" s="3638"/>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638"/>
      <c r="Q24" s="1351"/>
      <c r="R24" s="1352"/>
      <c r="S24" s="1353"/>
      <c r="T24" s="1352"/>
      <c r="U24" s="1353"/>
      <c r="V24" s="1352"/>
      <c r="W24" s="1353"/>
      <c r="X24" s="1340"/>
      <c r="Y24" s="3638"/>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638"/>
      <c r="Q25" s="1351">
        <f>B25</f>
        <v>111</v>
      </c>
      <c r="R25" s="1352" t="s">
        <v>65</v>
      </c>
      <c r="S25" s="1353">
        <f>F25</f>
        <v>100</v>
      </c>
      <c r="T25" s="1352" t="s">
        <v>65</v>
      </c>
      <c r="U25" s="1353">
        <f>H25</f>
        <v>100</v>
      </c>
      <c r="V25" s="1352" t="s">
        <v>65</v>
      </c>
      <c r="W25" s="1353">
        <f>J25</f>
        <v>100</v>
      </c>
      <c r="X25" s="1340"/>
      <c r="Y25" s="3638"/>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638"/>
      <c r="Q26" s="1351">
        <f t="shared" ref="Q26:Q40" si="11">B26</f>
        <v>111</v>
      </c>
      <c r="R26" s="1352" t="s">
        <v>65</v>
      </c>
      <c r="S26" s="1353">
        <f>F26</f>
        <v>100</v>
      </c>
      <c r="T26" s="1352" t="s">
        <v>65</v>
      </c>
      <c r="U26" s="1353">
        <f>H26</f>
        <v>100</v>
      </c>
      <c r="V26" s="1352" t="s">
        <v>65</v>
      </c>
      <c r="W26" s="1353">
        <f>J26</f>
        <v>100</v>
      </c>
      <c r="X26" s="1340"/>
      <c r="Y26" s="3638"/>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638"/>
      <c r="Q27" s="7">
        <f t="shared" si="11"/>
        <v>111</v>
      </c>
      <c r="R27" s="1342" t="s">
        <v>65</v>
      </c>
      <c r="S27" s="1343">
        <f>F27</f>
        <v>100</v>
      </c>
      <c r="T27" s="1342" t="s">
        <v>65</v>
      </c>
      <c r="U27" s="1343">
        <f>H27</f>
        <v>100</v>
      </c>
      <c r="V27" s="1342" t="s">
        <v>65</v>
      </c>
      <c r="W27" s="1343">
        <f>J27</f>
        <v>100</v>
      </c>
      <c r="X27" s="287"/>
      <c r="Y27" s="3638"/>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638"/>
      <c r="Q28" s="1351">
        <f t="shared" si="11"/>
        <v>111</v>
      </c>
      <c r="R28" s="1352" t="s">
        <v>65</v>
      </c>
      <c r="S28" s="1353">
        <f t="shared" ref="S28:S40" si="12">F28</f>
        <v>100</v>
      </c>
      <c r="T28" s="1352" t="s">
        <v>65</v>
      </c>
      <c r="U28" s="1353">
        <f t="shared" ref="U28:U40" si="13">H28</f>
        <v>100</v>
      </c>
      <c r="V28" s="1352" t="s">
        <v>65</v>
      </c>
      <c r="W28" s="1353">
        <f t="shared" ref="W28:W40" si="14">J28</f>
        <v>100</v>
      </c>
      <c r="X28" s="1340"/>
      <c r="Y28" s="3638"/>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61" t="s">
        <v>1131</v>
      </c>
      <c r="Q29" s="1351" t="str">
        <f t="shared" si="11"/>
        <v>建筑类型</v>
      </c>
      <c r="R29" s="1352" t="s">
        <v>65</v>
      </c>
      <c r="S29" s="1353">
        <f t="shared" si="12"/>
        <v>100</v>
      </c>
      <c r="T29" s="1352" t="s">
        <v>65</v>
      </c>
      <c r="U29" s="1353">
        <f t="shared" si="13"/>
        <v>100</v>
      </c>
      <c r="V29" s="1352" t="s">
        <v>65</v>
      </c>
      <c r="W29" s="1353">
        <f t="shared" si="14"/>
        <v>100</v>
      </c>
      <c r="X29" s="1340"/>
      <c r="Y29" s="3642" t="s">
        <v>1131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642"/>
      <c r="Q30" s="1359" t="str">
        <f t="shared" si="11"/>
        <v>项目建筑规模</v>
      </c>
      <c r="R30" s="1360" t="s">
        <v>65</v>
      </c>
      <c r="S30" s="1361" t="e">
        <f t="shared" si="12"/>
        <v>#N/A</v>
      </c>
      <c r="T30" s="1360" t="s">
        <v>65</v>
      </c>
      <c r="U30" s="1361" t="e">
        <f t="shared" si="13"/>
        <v>#N/A</v>
      </c>
      <c r="V30" s="1360" t="s">
        <v>65</v>
      </c>
      <c r="W30" s="1361" t="e">
        <f t="shared" si="14"/>
        <v>#N/A</v>
      </c>
      <c r="X30" s="1362"/>
      <c r="Y30" s="364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642"/>
      <c r="Q31" s="1351" t="str">
        <f t="shared" si="11"/>
        <v>建筑结构</v>
      </c>
      <c r="R31" s="1352" t="s">
        <v>65</v>
      </c>
      <c r="S31" s="1353">
        <f t="shared" si="12"/>
        <v>100</v>
      </c>
      <c r="T31" s="1352" t="s">
        <v>65</v>
      </c>
      <c r="U31" s="1353">
        <f t="shared" si="13"/>
        <v>100</v>
      </c>
      <c r="V31" s="1352" t="s">
        <v>65</v>
      </c>
      <c r="W31" s="1353">
        <f t="shared" si="14"/>
        <v>100</v>
      </c>
      <c r="X31" s="1340"/>
      <c r="Y31" s="3642"/>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642"/>
      <c r="Q32" s="1351" t="str">
        <f t="shared" si="11"/>
        <v>公共部分装修</v>
      </c>
      <c r="R32" s="1352" t="s">
        <v>65</v>
      </c>
      <c r="S32" s="1353">
        <f t="shared" si="12"/>
        <v>100</v>
      </c>
      <c r="T32" s="1352" t="s">
        <v>65</v>
      </c>
      <c r="U32" s="1353">
        <f t="shared" si="13"/>
        <v>100</v>
      </c>
      <c r="V32" s="1352" t="s">
        <v>65</v>
      </c>
      <c r="W32" s="1353">
        <f t="shared" si="14"/>
        <v>100</v>
      </c>
      <c r="X32" s="1340"/>
      <c r="Y32" s="3642"/>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642"/>
      <c r="Q33" s="1351" t="str">
        <f t="shared" si="11"/>
        <v>成新度</v>
      </c>
      <c r="R33" s="1352" t="s">
        <v>65</v>
      </c>
      <c r="S33" s="1353" t="e">
        <f t="shared" si="12"/>
        <v>#N/A</v>
      </c>
      <c r="T33" s="1352" t="s">
        <v>65</v>
      </c>
      <c r="U33" s="1353" t="e">
        <f t="shared" si="13"/>
        <v>#N/A</v>
      </c>
      <c r="V33" s="1352" t="s">
        <v>65</v>
      </c>
      <c r="W33" s="1353" t="e">
        <f t="shared" si="14"/>
        <v>#N/A</v>
      </c>
      <c r="X33" s="1340"/>
      <c r="Y33" s="3642"/>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642"/>
      <c r="Q34" s="7" t="str">
        <f t="shared" si="11"/>
        <v>物业管理</v>
      </c>
      <c r="R34" s="1342" t="s">
        <v>65</v>
      </c>
      <c r="S34" s="1343">
        <f t="shared" si="12"/>
        <v>100</v>
      </c>
      <c r="T34" s="1342" t="s">
        <v>65</v>
      </c>
      <c r="U34" s="1343">
        <f t="shared" si="13"/>
        <v>100</v>
      </c>
      <c r="V34" s="1342" t="s">
        <v>65</v>
      </c>
      <c r="W34" s="1343">
        <f t="shared" si="14"/>
        <v>100</v>
      </c>
      <c r="X34" s="287"/>
      <c r="Y34" s="3642"/>
      <c r="Z34" s="288" t="str">
        <f t="shared" si="15"/>
        <v>物业管理</v>
      </c>
      <c r="AA34" s="1344">
        <f t="shared" si="3"/>
        <v>1</v>
      </c>
      <c r="AB34" s="1344">
        <f t="shared" si="4"/>
        <v>1</v>
      </c>
      <c r="AC34" s="1344">
        <f t="shared" si="5"/>
        <v>1</v>
      </c>
    </row>
    <row r="35" spans="1:29" ht="15">
      <c r="A35" s="161"/>
      <c r="B35" s="12" t="s">
        <v>2667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642" t="s">
        <v>70</v>
      </c>
      <c r="Q35" s="1351" t="str">
        <f t="shared" si="11"/>
        <v>市政基础设施</v>
      </c>
      <c r="R35" s="1352" t="s">
        <v>65</v>
      </c>
      <c r="S35" s="1353">
        <f t="shared" si="12"/>
        <v>100</v>
      </c>
      <c r="T35" s="1352" t="s">
        <v>65</v>
      </c>
      <c r="U35" s="1353">
        <f t="shared" si="13"/>
        <v>100</v>
      </c>
      <c r="V35" s="1352" t="s">
        <v>65</v>
      </c>
      <c r="W35" s="1353">
        <f t="shared" si="14"/>
        <v>100</v>
      </c>
      <c r="X35" s="1340"/>
      <c r="Y35" s="364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642"/>
      <c r="Q36" s="1351" t="str">
        <f t="shared" si="11"/>
        <v>内部装修</v>
      </c>
      <c r="R36" s="1352" t="s">
        <v>65</v>
      </c>
      <c r="S36" s="1353">
        <f t="shared" si="12"/>
        <v>100</v>
      </c>
      <c r="T36" s="1352" t="s">
        <v>65</v>
      </c>
      <c r="U36" s="1353">
        <f t="shared" si="13"/>
        <v>100</v>
      </c>
      <c r="V36" s="1352" t="s">
        <v>65</v>
      </c>
      <c r="W36" s="1353">
        <f t="shared" si="14"/>
        <v>100</v>
      </c>
      <c r="X36" s="1340"/>
      <c r="Y36" s="3642"/>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642"/>
      <c r="Q37" s="1351" t="str">
        <f t="shared" si="11"/>
        <v>内部装修状况</v>
      </c>
      <c r="R37" s="1352" t="s">
        <v>65</v>
      </c>
      <c r="S37" s="1353">
        <f t="shared" si="12"/>
        <v>100</v>
      </c>
      <c r="T37" s="1352" t="s">
        <v>65</v>
      </c>
      <c r="U37" s="1353">
        <f t="shared" si="13"/>
        <v>100</v>
      </c>
      <c r="V37" s="1352" t="s">
        <v>65</v>
      </c>
      <c r="W37" s="1353">
        <f t="shared" si="14"/>
        <v>100</v>
      </c>
      <c r="X37" s="1340"/>
      <c r="Y37" s="3642"/>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642"/>
      <c r="Q38" s="1359">
        <f t="shared" si="11"/>
        <v>111</v>
      </c>
      <c r="R38" s="1360" t="s">
        <v>65</v>
      </c>
      <c r="S38" s="1361">
        <f t="shared" si="12"/>
        <v>100</v>
      </c>
      <c r="T38" s="1360" t="s">
        <v>65</v>
      </c>
      <c r="U38" s="1361">
        <f t="shared" si="13"/>
        <v>100</v>
      </c>
      <c r="V38" s="1360" t="s">
        <v>65</v>
      </c>
      <c r="W38" s="1361">
        <f t="shared" si="14"/>
        <v>100</v>
      </c>
      <c r="X38" s="1362"/>
      <c r="Y38" s="3642"/>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642"/>
      <c r="Q39" s="1351">
        <f t="shared" si="11"/>
        <v>111</v>
      </c>
      <c r="R39" s="1352" t="s">
        <v>65</v>
      </c>
      <c r="S39" s="1353">
        <f t="shared" si="12"/>
        <v>100</v>
      </c>
      <c r="T39" s="1352" t="s">
        <v>65</v>
      </c>
      <c r="U39" s="1353">
        <f t="shared" si="13"/>
        <v>100</v>
      </c>
      <c r="V39" s="1352" t="s">
        <v>65</v>
      </c>
      <c r="W39" s="1353">
        <f t="shared" si="14"/>
        <v>100</v>
      </c>
      <c r="X39" s="1340"/>
      <c r="Y39" s="3642"/>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643"/>
      <c r="Q40" s="1351">
        <f t="shared" si="11"/>
        <v>111</v>
      </c>
      <c r="R40" s="1352" t="s">
        <v>65</v>
      </c>
      <c r="S40" s="1353">
        <f t="shared" si="12"/>
        <v>100</v>
      </c>
      <c r="T40" s="1352" t="s">
        <v>65</v>
      </c>
      <c r="U40" s="1353">
        <f t="shared" si="13"/>
        <v>100</v>
      </c>
      <c r="V40" s="1352" t="s">
        <v>65</v>
      </c>
      <c r="W40" s="1353">
        <f t="shared" si="14"/>
        <v>100</v>
      </c>
      <c r="X40" s="1340"/>
      <c r="Y40" s="3643"/>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635" t="str">
        <f>A41</f>
        <v>成交单价（元/平方米）</v>
      </c>
      <c r="Q41" s="3635"/>
      <c r="R41" s="3636">
        <f>E41</f>
        <v>0</v>
      </c>
      <c r="S41" s="3636"/>
      <c r="T41" s="3636">
        <f>G41</f>
        <v>0</v>
      </c>
      <c r="U41" s="3636"/>
      <c r="V41" s="3636">
        <f>I41</f>
        <v>0</v>
      </c>
      <c r="W41" s="3636"/>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635" t="str">
        <f>A42</f>
        <v>比较价值（元/平方米）</v>
      </c>
      <c r="Q42" s="3635"/>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1365"/>
      <c r="Y42" s="1365"/>
      <c r="Z42" s="1365"/>
      <c r="AA42" s="1365"/>
      <c r="AB42" s="1365"/>
      <c r="AC42" s="1365"/>
    </row>
    <row r="43" spans="1:29" ht="15.75" thickBot="1">
      <c r="A43" s="115" t="s">
        <v>3032</v>
      </c>
      <c r="B43" s="116"/>
      <c r="C43" s="2848" t="e">
        <f>R43</f>
        <v>#DIV/0!</v>
      </c>
      <c r="D43" s="2848"/>
      <c r="E43" s="2848"/>
      <c r="F43" s="2848"/>
      <c r="G43" s="2848"/>
      <c r="H43" s="2848"/>
      <c r="I43" s="2848"/>
      <c r="J43" s="2848"/>
      <c r="K43" s="1395"/>
      <c r="L43" s="2305"/>
      <c r="M43" s="2306"/>
      <c r="N43" s="2306"/>
      <c r="O43" s="2306"/>
      <c r="P43" s="3632" t="str">
        <f>A43</f>
        <v>估价对象XX用房的比较价值（楼面单价，元/平方米）</v>
      </c>
      <c r="Q43" s="3633"/>
      <c r="R43" s="3634" t="e">
        <f>IF(F1="售价",ROUND(AVERAGE(R42:V42),0),ROUND(AVERAGE(R42:V42),1))</f>
        <v>#DIV/0!</v>
      </c>
      <c r="S43" s="3634"/>
      <c r="T43" s="3634"/>
      <c r="U43" s="3634"/>
      <c r="V43" s="3634"/>
      <c r="W43" s="3634"/>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2807</v>
      </c>
      <c r="B52" s="849"/>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2649</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2677</v>
      </c>
      <c r="C76" s="213" t="s">
        <v>2669</v>
      </c>
      <c r="D76" s="213" t="s">
        <v>2670</v>
      </c>
      <c r="E76" s="213" t="s">
        <v>2671</v>
      </c>
      <c r="F76" s="213" t="s">
        <v>2672</v>
      </c>
      <c r="G76" s="213" t="s">
        <v>2673</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2651</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26"/>
      <c r="C1" s="3127" t="s">
        <v>445</v>
      </c>
      <c r="D1" s="3128"/>
      <c r="E1" s="3129"/>
      <c r="F1" s="3110"/>
      <c r="G1" s="3130" t="s">
        <v>446</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447</v>
      </c>
      <c r="B2" s="2849" t="e">
        <f ca="1">IF(C2="——",IF(B37="元/平方米",ROUND(C39*D3/10000,0),ROUND(F3*C39/10000,0)),IF(B37="元/平方米",ROUND(C39*D3/10000,0),ROUND(F3*C39/10000,0))-D2)</f>
        <v>#DIV/0!</v>
      </c>
      <c r="C2" s="3102"/>
      <c r="D2" s="2344" t="e">
        <f ca="1">SUMIF(INDIRECT("'"&amp;F2&amp;"'"&amp;"!A:A"),"承租人权益价值",INDIRECT("'"&amp;F2&amp;"'"&amp;"!c:c"))</f>
        <v>#REF!</v>
      </c>
      <c r="E2" s="3103" t="s">
        <v>872</v>
      </c>
      <c r="F2" s="3104"/>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545" t="s">
        <v>451</v>
      </c>
      <c r="D4" s="3546"/>
      <c r="E4" s="3547" t="s">
        <v>452</v>
      </c>
      <c r="F4" s="3548"/>
      <c r="G4" s="3545" t="s">
        <v>453</v>
      </c>
      <c r="H4" s="3546"/>
      <c r="I4" s="3545" t="s">
        <v>454</v>
      </c>
      <c r="J4" s="3546"/>
      <c r="K4" s="953" t="s">
        <v>455</v>
      </c>
      <c r="L4" s="2350"/>
      <c r="M4" s="2351"/>
      <c r="N4" s="2351"/>
      <c r="O4" s="2351"/>
      <c r="P4" s="3549" t="s">
        <v>456</v>
      </c>
      <c r="Q4" s="3550"/>
      <c r="R4" s="3564" t="s">
        <v>452</v>
      </c>
      <c r="S4" s="3565"/>
      <c r="T4" s="3564" t="s">
        <v>453</v>
      </c>
      <c r="U4" s="3565"/>
      <c r="V4" s="3537" t="s">
        <v>454</v>
      </c>
      <c r="W4" s="3537"/>
      <c r="X4" s="2835"/>
      <c r="Y4" s="3564" t="s">
        <v>456</v>
      </c>
      <c r="Z4" s="3565"/>
      <c r="AA4" s="3542" t="s">
        <v>452</v>
      </c>
      <c r="AB4" s="3543" t="s">
        <v>453</v>
      </c>
      <c r="AC4" s="3542" t="s">
        <v>454</v>
      </c>
    </row>
    <row r="5" spans="1:29" ht="15">
      <c r="A5" s="747"/>
      <c r="B5" s="748"/>
      <c r="C5" s="3664" t="s">
        <v>3033</v>
      </c>
      <c r="D5" s="3665"/>
      <c r="E5" s="3662" t="s">
        <v>3034</v>
      </c>
      <c r="F5" s="3663"/>
      <c r="G5" s="3664" t="s">
        <v>3035</v>
      </c>
      <c r="H5" s="3665"/>
      <c r="I5" s="3664" t="s">
        <v>3036</v>
      </c>
      <c r="J5" s="3665"/>
      <c r="K5" s="953"/>
      <c r="L5" s="2350"/>
      <c r="M5" s="2351"/>
      <c r="N5" s="2351"/>
      <c r="O5" s="2351"/>
      <c r="P5" s="3551"/>
      <c r="Q5" s="3552"/>
      <c r="R5" s="3566"/>
      <c r="S5" s="3567"/>
      <c r="T5" s="3566"/>
      <c r="U5" s="3567"/>
      <c r="V5" s="3537"/>
      <c r="W5" s="3537"/>
      <c r="X5" s="2835"/>
      <c r="Y5" s="3566"/>
      <c r="Z5" s="3567"/>
      <c r="AA5" s="3543"/>
      <c r="AB5" s="3543"/>
      <c r="AC5" s="3543"/>
    </row>
    <row r="6" spans="1:29" ht="15.75" thickBot="1">
      <c r="A6" s="749"/>
      <c r="B6" s="750"/>
      <c r="C6" s="3666" t="s">
        <v>3037</v>
      </c>
      <c r="D6" s="3667"/>
      <c r="E6" s="3668" t="s">
        <v>3037</v>
      </c>
      <c r="F6" s="3669"/>
      <c r="G6" s="3666" t="s">
        <v>3037</v>
      </c>
      <c r="H6" s="3667"/>
      <c r="I6" s="3666" t="s">
        <v>3037</v>
      </c>
      <c r="J6" s="3667"/>
      <c r="K6" s="953" t="s">
        <v>398</v>
      </c>
      <c r="L6" s="2350"/>
      <c r="M6" s="2351"/>
      <c r="N6" s="2351"/>
      <c r="O6" s="2351"/>
      <c r="P6" s="3553"/>
      <c r="Q6" s="3554"/>
      <c r="R6" s="3566"/>
      <c r="S6" s="3567"/>
      <c r="T6" s="3575"/>
      <c r="U6" s="3576"/>
      <c r="V6" s="3537"/>
      <c r="W6" s="3537"/>
      <c r="X6" s="2835"/>
      <c r="Y6" s="3575"/>
      <c r="Z6" s="3576"/>
      <c r="AA6" s="3544"/>
      <c r="AB6" s="3544"/>
      <c r="AC6" s="3544"/>
    </row>
    <row r="7" spans="1:29" s="407" customFormat="1" ht="15.75" thickBot="1">
      <c r="A7" s="751" t="s">
        <v>399</v>
      </c>
      <c r="B7" s="752"/>
      <c r="C7" s="753">
        <f>'数据-取费表'!B2</f>
        <v>42921</v>
      </c>
      <c r="D7" s="754">
        <v>100</v>
      </c>
      <c r="E7" s="755"/>
      <c r="F7" s="756">
        <f>SUMIF(48:48,YEAR(E7)&amp;"-"&amp;MONTH(E7),49:49)</f>
        <v>0</v>
      </c>
      <c r="G7" s="755"/>
      <c r="H7" s="754">
        <f>SUMIF(48:48,YEAR(G7)&amp;"-"&amp;MONTH(G7),49:49)</f>
        <v>0</v>
      </c>
      <c r="I7" s="755"/>
      <c r="J7" s="754">
        <f>SUMIF(48:48,YEAR(I7)&amp;"-"&amp;MONTH(I7),49:49)</f>
        <v>0</v>
      </c>
      <c r="K7" s="954"/>
      <c r="L7" s="2352"/>
      <c r="M7" s="2353"/>
      <c r="N7" s="2353"/>
      <c r="O7" s="2353"/>
      <c r="P7" s="3557" t="s">
        <v>400</v>
      </c>
      <c r="Q7" s="3572"/>
      <c r="R7" s="1319" t="s">
        <v>65</v>
      </c>
      <c r="S7" s="1320">
        <f t="shared" ref="S7:S14" si="0">F7</f>
        <v>0</v>
      </c>
      <c r="T7" s="1319" t="s">
        <v>65</v>
      </c>
      <c r="U7" s="1320">
        <f t="shared" ref="U7:U14" si="1">H7</f>
        <v>0</v>
      </c>
      <c r="V7" s="1319" t="s">
        <v>65</v>
      </c>
      <c r="W7" s="1320">
        <f t="shared" ref="W7:W14" si="2">J7</f>
        <v>0</v>
      </c>
      <c r="X7" s="1321"/>
      <c r="Y7" s="3557" t="s">
        <v>400</v>
      </c>
      <c r="Z7" s="3558"/>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557" t="s">
        <v>436</v>
      </c>
      <c r="Q8" s="3558"/>
      <c r="R8" s="1319" t="s">
        <v>65</v>
      </c>
      <c r="S8" s="1320">
        <f t="shared" si="0"/>
        <v>0</v>
      </c>
      <c r="T8" s="1319" t="s">
        <v>65</v>
      </c>
      <c r="U8" s="1320">
        <f t="shared" si="1"/>
        <v>0</v>
      </c>
      <c r="V8" s="1319" t="s">
        <v>65</v>
      </c>
      <c r="W8" s="1320">
        <f t="shared" si="2"/>
        <v>0</v>
      </c>
      <c r="X8" s="1321"/>
      <c r="Y8" s="3557" t="s">
        <v>436</v>
      </c>
      <c r="Z8" s="3558"/>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535" t="s">
        <v>403</v>
      </c>
      <c r="Q9" s="2834" t="str">
        <f t="shared" ref="Q9:Q14" si="6">B9</f>
        <v>用途</v>
      </c>
      <c r="R9" s="1319" t="s">
        <v>65</v>
      </c>
      <c r="S9" s="1320">
        <f t="shared" si="0"/>
        <v>100</v>
      </c>
      <c r="T9" s="1319" t="s">
        <v>65</v>
      </c>
      <c r="U9" s="1320">
        <f t="shared" si="1"/>
        <v>100</v>
      </c>
      <c r="V9" s="1319" t="s">
        <v>65</v>
      </c>
      <c r="W9" s="1320">
        <f t="shared" si="2"/>
        <v>100</v>
      </c>
      <c r="X9" s="1321"/>
      <c r="Y9" s="3512"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535"/>
      <c r="Q10" s="2834" t="str">
        <f t="shared" si="6"/>
        <v>土地使用年限（年）</v>
      </c>
      <c r="R10" s="1319" t="s">
        <v>65</v>
      </c>
      <c r="S10" s="1320">
        <f t="shared" si="0"/>
        <v>100</v>
      </c>
      <c r="T10" s="1319" t="s">
        <v>65</v>
      </c>
      <c r="U10" s="1320">
        <f t="shared" si="1"/>
        <v>100</v>
      </c>
      <c r="V10" s="1319" t="s">
        <v>65</v>
      </c>
      <c r="W10" s="1320">
        <f t="shared" si="2"/>
        <v>100</v>
      </c>
      <c r="X10" s="1321"/>
      <c r="Y10" s="3512"/>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535"/>
      <c r="Q11" s="2834">
        <f t="shared" si="6"/>
        <v>111</v>
      </c>
      <c r="R11" s="1319" t="s">
        <v>65</v>
      </c>
      <c r="S11" s="1320">
        <f t="shared" si="0"/>
        <v>100</v>
      </c>
      <c r="T11" s="1319" t="s">
        <v>65</v>
      </c>
      <c r="U11" s="1320">
        <f t="shared" si="1"/>
        <v>100</v>
      </c>
      <c r="V11" s="1319" t="s">
        <v>65</v>
      </c>
      <c r="W11" s="1320">
        <f t="shared" si="2"/>
        <v>100</v>
      </c>
      <c r="X11" s="1321"/>
      <c r="Y11" s="3512"/>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535"/>
      <c r="Q12" s="2834">
        <f t="shared" si="6"/>
        <v>111</v>
      </c>
      <c r="R12" s="1319" t="s">
        <v>65</v>
      </c>
      <c r="S12" s="1320">
        <f t="shared" si="0"/>
        <v>100</v>
      </c>
      <c r="T12" s="1319" t="s">
        <v>65</v>
      </c>
      <c r="U12" s="1320">
        <f t="shared" si="1"/>
        <v>100</v>
      </c>
      <c r="V12" s="1319" t="s">
        <v>65</v>
      </c>
      <c r="W12" s="1320">
        <f t="shared" si="2"/>
        <v>100</v>
      </c>
      <c r="X12" s="1321"/>
      <c r="Y12" s="3512"/>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535"/>
      <c r="Q13" s="2834">
        <f t="shared" si="6"/>
        <v>111</v>
      </c>
      <c r="R13" s="1319" t="s">
        <v>65</v>
      </c>
      <c r="S13" s="1320">
        <f t="shared" si="0"/>
        <v>100</v>
      </c>
      <c r="T13" s="1319" t="s">
        <v>65</v>
      </c>
      <c r="U13" s="1320">
        <f t="shared" si="1"/>
        <v>100</v>
      </c>
      <c r="V13" s="1319" t="s">
        <v>65</v>
      </c>
      <c r="W13" s="1320">
        <f t="shared" si="2"/>
        <v>100</v>
      </c>
      <c r="X13" s="1321"/>
      <c r="Y13" s="3512"/>
      <c r="Z13" s="344">
        <f t="shared" si="7"/>
        <v>111</v>
      </c>
      <c r="AA13" s="1322">
        <f t="shared" si="3"/>
        <v>1</v>
      </c>
      <c r="AB13" s="1322">
        <f t="shared" si="4"/>
        <v>1</v>
      </c>
      <c r="AC13" s="1322">
        <f t="shared" si="5"/>
        <v>1</v>
      </c>
    </row>
    <row r="14" spans="1:29" ht="94.5">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538" t="s">
        <v>408</v>
      </c>
      <c r="Q14" s="2836" t="str">
        <f t="shared" si="6"/>
        <v>交通便捷度</v>
      </c>
      <c r="R14" s="1324" t="s">
        <v>65</v>
      </c>
      <c r="S14" s="1325">
        <f t="shared" si="0"/>
        <v>100</v>
      </c>
      <c r="T14" s="1324" t="s">
        <v>65</v>
      </c>
      <c r="U14" s="1325">
        <f t="shared" si="1"/>
        <v>100</v>
      </c>
      <c r="V14" s="1324" t="s">
        <v>65</v>
      </c>
      <c r="W14" s="1325">
        <f t="shared" si="2"/>
        <v>100</v>
      </c>
      <c r="X14" s="2835"/>
      <c r="Y14" s="3538"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539"/>
      <c r="Q15" s="2836"/>
      <c r="R15" s="1324"/>
      <c r="S15" s="1325"/>
      <c r="T15" s="1324"/>
      <c r="U15" s="1325"/>
      <c r="V15" s="1324"/>
      <c r="W15" s="1325"/>
      <c r="X15" s="2835"/>
      <c r="Y15" s="3539"/>
      <c r="Z15" s="2837"/>
      <c r="AA15" s="1327">
        <v>1</v>
      </c>
      <c r="AB15" s="1327">
        <v>1</v>
      </c>
      <c r="AC15" s="1327">
        <v>1</v>
      </c>
    </row>
    <row r="16" spans="1:29" ht="40.5">
      <c r="A16" s="747"/>
      <c r="B16" s="1034" t="s">
        <v>2678</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539"/>
      <c r="Q16" s="2836" t="str">
        <f>B16</f>
        <v>公共配套设施</v>
      </c>
      <c r="R16" s="1324" t="s">
        <v>65</v>
      </c>
      <c r="S16" s="1325">
        <f>F16</f>
        <v>100</v>
      </c>
      <c r="T16" s="1324" t="s">
        <v>65</v>
      </c>
      <c r="U16" s="1325">
        <f>H16</f>
        <v>100</v>
      </c>
      <c r="V16" s="1324" t="s">
        <v>65</v>
      </c>
      <c r="W16" s="1325">
        <f>J16</f>
        <v>100</v>
      </c>
      <c r="X16" s="2835"/>
      <c r="Y16" s="3539"/>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539"/>
      <c r="Q17" s="2836"/>
      <c r="R17" s="1324"/>
      <c r="S17" s="1325"/>
      <c r="T17" s="1324"/>
      <c r="U17" s="1325"/>
      <c r="V17" s="1324"/>
      <c r="W17" s="1325"/>
      <c r="X17" s="2835"/>
      <c r="Y17" s="3539"/>
      <c r="Z17" s="2837"/>
      <c r="AA17" s="1327">
        <v>1</v>
      </c>
      <c r="AB17" s="1327">
        <v>1</v>
      </c>
      <c r="AC17" s="1327">
        <v>1</v>
      </c>
    </row>
    <row r="18" spans="1:29" ht="40.5">
      <c r="A18" s="747"/>
      <c r="B18" s="1036" t="s">
        <v>2677</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539"/>
      <c r="Q18" s="2836" t="str">
        <f>B18</f>
        <v>基础设施水平</v>
      </c>
      <c r="R18" s="1324" t="s">
        <v>65</v>
      </c>
      <c r="S18" s="1325">
        <f>F18</f>
        <v>100</v>
      </c>
      <c r="T18" s="1324" t="s">
        <v>65</v>
      </c>
      <c r="U18" s="1325">
        <f>H18</f>
        <v>100</v>
      </c>
      <c r="V18" s="1324" t="s">
        <v>65</v>
      </c>
      <c r="W18" s="1325">
        <f>J18</f>
        <v>100</v>
      </c>
      <c r="X18" s="2835"/>
      <c r="Y18" s="3539"/>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539"/>
      <c r="Q19" s="2836"/>
      <c r="R19" s="1324"/>
      <c r="S19" s="1325"/>
      <c r="T19" s="1324"/>
      <c r="U19" s="1325"/>
      <c r="V19" s="1324"/>
      <c r="W19" s="1325"/>
      <c r="X19" s="2835"/>
      <c r="Y19" s="3539"/>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539"/>
      <c r="Q20" s="2836" t="str">
        <f>B20</f>
        <v>自然及人文环境</v>
      </c>
      <c r="R20" s="1324" t="s">
        <v>65</v>
      </c>
      <c r="S20" s="1325">
        <f>F20</f>
        <v>100</v>
      </c>
      <c r="T20" s="1324" t="s">
        <v>65</v>
      </c>
      <c r="U20" s="1325">
        <f>H20</f>
        <v>100</v>
      </c>
      <c r="V20" s="1324" t="s">
        <v>65</v>
      </c>
      <c r="W20" s="1325">
        <f>J20</f>
        <v>100</v>
      </c>
      <c r="X20" s="2835"/>
      <c r="Y20" s="3539"/>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539"/>
      <c r="Q21" s="2836"/>
      <c r="R21" s="1324"/>
      <c r="S21" s="1325"/>
      <c r="T21" s="1324"/>
      <c r="U21" s="1325"/>
      <c r="V21" s="1324"/>
      <c r="W21" s="1325"/>
      <c r="X21" s="2835"/>
      <c r="Y21" s="3539"/>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539"/>
      <c r="Q22" s="2836" t="str">
        <f>B22</f>
        <v>楼层</v>
      </c>
      <c r="R22" s="1324" t="s">
        <v>65</v>
      </c>
      <c r="S22" s="1325">
        <f>F22</f>
        <v>100</v>
      </c>
      <c r="T22" s="1324" t="s">
        <v>65</v>
      </c>
      <c r="U22" s="1325">
        <f>H22</f>
        <v>100</v>
      </c>
      <c r="V22" s="1324" t="s">
        <v>65</v>
      </c>
      <c r="W22" s="1325">
        <f>J22</f>
        <v>100</v>
      </c>
      <c r="X22" s="2835"/>
      <c r="Y22" s="3539"/>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539"/>
      <c r="Q23" s="2836">
        <f>B23</f>
        <v>111</v>
      </c>
      <c r="R23" s="1324" t="s">
        <v>65</v>
      </c>
      <c r="S23" s="1325">
        <f>F23</f>
        <v>100</v>
      </c>
      <c r="T23" s="1324" t="s">
        <v>65</v>
      </c>
      <c r="U23" s="1325">
        <f>H23</f>
        <v>100</v>
      </c>
      <c r="V23" s="1324" t="s">
        <v>65</v>
      </c>
      <c r="W23" s="1325">
        <f>J23</f>
        <v>100</v>
      </c>
      <c r="X23" s="2835"/>
      <c r="Y23" s="3539"/>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539"/>
      <c r="Q24" s="2836">
        <f t="shared" ref="Q24:Q36" si="11">B24</f>
        <v>111</v>
      </c>
      <c r="R24" s="1324" t="s">
        <v>65</v>
      </c>
      <c r="S24" s="1325">
        <f>F24</f>
        <v>100</v>
      </c>
      <c r="T24" s="1324" t="s">
        <v>65</v>
      </c>
      <c r="U24" s="1325">
        <f>H24</f>
        <v>100</v>
      </c>
      <c r="V24" s="1324" t="s">
        <v>65</v>
      </c>
      <c r="W24" s="1325">
        <f>J24</f>
        <v>100</v>
      </c>
      <c r="X24" s="2835"/>
      <c r="Y24" s="3539"/>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539"/>
      <c r="Q25" s="2834">
        <f t="shared" si="11"/>
        <v>111</v>
      </c>
      <c r="R25" s="1319" t="s">
        <v>65</v>
      </c>
      <c r="S25" s="1320">
        <f>F25</f>
        <v>100</v>
      </c>
      <c r="T25" s="1319" t="s">
        <v>65</v>
      </c>
      <c r="U25" s="1320">
        <f>H25</f>
        <v>100</v>
      </c>
      <c r="V25" s="1319" t="s">
        <v>65</v>
      </c>
      <c r="W25" s="1320">
        <f>J25</f>
        <v>100</v>
      </c>
      <c r="X25" s="1321"/>
      <c r="Y25" s="3539"/>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540"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541"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541"/>
      <c r="Q27" s="1328" t="str">
        <f t="shared" si="11"/>
        <v>项目停车位配比</v>
      </c>
      <c r="R27" s="1329" t="s">
        <v>65</v>
      </c>
      <c r="S27" s="1330">
        <f t="shared" si="12"/>
        <v>100</v>
      </c>
      <c r="T27" s="1329" t="s">
        <v>65</v>
      </c>
      <c r="U27" s="1330">
        <f t="shared" si="13"/>
        <v>100</v>
      </c>
      <c r="V27" s="1329" t="s">
        <v>65</v>
      </c>
      <c r="W27" s="1330">
        <f t="shared" si="14"/>
        <v>100</v>
      </c>
      <c r="X27" s="1331"/>
      <c r="Y27" s="3541"/>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541"/>
      <c r="Q28" s="2836" t="str">
        <f t="shared" si="11"/>
        <v>公共部分装修</v>
      </c>
      <c r="R28" s="1324" t="s">
        <v>65</v>
      </c>
      <c r="S28" s="1325">
        <f t="shared" si="12"/>
        <v>100</v>
      </c>
      <c r="T28" s="1324" t="s">
        <v>65</v>
      </c>
      <c r="U28" s="1325">
        <f t="shared" si="13"/>
        <v>100</v>
      </c>
      <c r="V28" s="1324" t="s">
        <v>65</v>
      </c>
      <c r="W28" s="1325">
        <f t="shared" si="14"/>
        <v>100</v>
      </c>
      <c r="X28" s="2835"/>
      <c r="Y28" s="3541"/>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541"/>
      <c r="Q29" s="2836" t="str">
        <f t="shared" si="11"/>
        <v>成新率</v>
      </c>
      <c r="R29" s="1324" t="s">
        <v>65</v>
      </c>
      <c r="S29" s="1325" t="e">
        <f t="shared" si="12"/>
        <v>#N/A</v>
      </c>
      <c r="T29" s="1324" t="s">
        <v>65</v>
      </c>
      <c r="U29" s="1325" t="e">
        <f t="shared" si="13"/>
        <v>#N/A</v>
      </c>
      <c r="V29" s="1324" t="s">
        <v>65</v>
      </c>
      <c r="W29" s="1325" t="e">
        <f t="shared" si="14"/>
        <v>#N/A</v>
      </c>
      <c r="X29" s="2835"/>
      <c r="Y29" s="3541"/>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541"/>
      <c r="Q30" s="2836" t="str">
        <f t="shared" si="11"/>
        <v>物业等级</v>
      </c>
      <c r="R30" s="1324" t="s">
        <v>65</v>
      </c>
      <c r="S30" s="1325">
        <f t="shared" si="12"/>
        <v>100</v>
      </c>
      <c r="T30" s="1324" t="s">
        <v>65</v>
      </c>
      <c r="U30" s="1325">
        <f t="shared" si="13"/>
        <v>100</v>
      </c>
      <c r="V30" s="1324" t="s">
        <v>65</v>
      </c>
      <c r="W30" s="1325">
        <f t="shared" si="14"/>
        <v>100</v>
      </c>
      <c r="X30" s="2835"/>
      <c r="Y30" s="3541"/>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541"/>
      <c r="Q31" s="2834" t="str">
        <f t="shared" si="11"/>
        <v>停车位面积</v>
      </c>
      <c r="R31" s="1319" t="s">
        <v>65</v>
      </c>
      <c r="S31" s="1320" t="e">
        <f t="shared" si="12"/>
        <v>#N/A</v>
      </c>
      <c r="T31" s="1319" t="s">
        <v>65</v>
      </c>
      <c r="U31" s="1320" t="e">
        <f t="shared" si="13"/>
        <v>#N/A</v>
      </c>
      <c r="V31" s="1319" t="s">
        <v>65</v>
      </c>
      <c r="W31" s="1320" t="e">
        <f t="shared" si="14"/>
        <v>#N/A</v>
      </c>
      <c r="X31" s="1321"/>
      <c r="Y31" s="3541"/>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541" t="s">
        <v>410</v>
      </c>
      <c r="Q32" s="2836" t="str">
        <f t="shared" si="11"/>
        <v>车位类型</v>
      </c>
      <c r="R32" s="1324" t="s">
        <v>65</v>
      </c>
      <c r="S32" s="1325">
        <f t="shared" si="12"/>
        <v>100</v>
      </c>
      <c r="T32" s="1324" t="s">
        <v>65</v>
      </c>
      <c r="U32" s="1325">
        <f t="shared" si="13"/>
        <v>100</v>
      </c>
      <c r="V32" s="1324" t="s">
        <v>65</v>
      </c>
      <c r="W32" s="1325">
        <f t="shared" si="14"/>
        <v>100</v>
      </c>
      <c r="X32" s="2835"/>
      <c r="Y32" s="3541"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541"/>
      <c r="Q33" s="2836" t="str">
        <f t="shared" si="11"/>
        <v>是否直接入户</v>
      </c>
      <c r="R33" s="1324" t="s">
        <v>65</v>
      </c>
      <c r="S33" s="1325">
        <f t="shared" si="12"/>
        <v>100</v>
      </c>
      <c r="T33" s="1324" t="s">
        <v>65</v>
      </c>
      <c r="U33" s="1325">
        <f t="shared" si="13"/>
        <v>100</v>
      </c>
      <c r="V33" s="1324" t="s">
        <v>65</v>
      </c>
      <c r="W33" s="1325">
        <f t="shared" si="14"/>
        <v>100</v>
      </c>
      <c r="X33" s="2835"/>
      <c r="Y33" s="3541"/>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541"/>
      <c r="Q34" s="2836">
        <f t="shared" si="11"/>
        <v>111</v>
      </c>
      <c r="R34" s="1324" t="s">
        <v>65</v>
      </c>
      <c r="S34" s="1325">
        <f t="shared" si="12"/>
        <v>100</v>
      </c>
      <c r="T34" s="1324" t="s">
        <v>65</v>
      </c>
      <c r="U34" s="1325">
        <f t="shared" si="13"/>
        <v>100</v>
      </c>
      <c r="V34" s="1324" t="s">
        <v>65</v>
      </c>
      <c r="W34" s="1325">
        <f t="shared" si="14"/>
        <v>100</v>
      </c>
      <c r="X34" s="2835"/>
      <c r="Y34" s="3541"/>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541"/>
      <c r="Q35" s="1328">
        <f t="shared" si="11"/>
        <v>111</v>
      </c>
      <c r="R35" s="1329" t="s">
        <v>65</v>
      </c>
      <c r="S35" s="1330">
        <f t="shared" si="12"/>
        <v>100</v>
      </c>
      <c r="T35" s="1329" t="s">
        <v>65</v>
      </c>
      <c r="U35" s="1330">
        <f t="shared" si="13"/>
        <v>100</v>
      </c>
      <c r="V35" s="1329" t="s">
        <v>65</v>
      </c>
      <c r="W35" s="1330">
        <f t="shared" si="14"/>
        <v>100</v>
      </c>
      <c r="X35" s="1331"/>
      <c r="Y35" s="3541"/>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541"/>
      <c r="Q36" s="2836">
        <f t="shared" si="11"/>
        <v>111</v>
      </c>
      <c r="R36" s="1324" t="s">
        <v>65</v>
      </c>
      <c r="S36" s="1325">
        <f t="shared" si="12"/>
        <v>100</v>
      </c>
      <c r="T36" s="1324" t="s">
        <v>65</v>
      </c>
      <c r="U36" s="1325">
        <f t="shared" si="13"/>
        <v>100</v>
      </c>
      <c r="V36" s="1324" t="s">
        <v>65</v>
      </c>
      <c r="W36" s="1325">
        <f t="shared" si="14"/>
        <v>100</v>
      </c>
      <c r="X36" s="2835"/>
      <c r="Y36" s="3541"/>
      <c r="Z36" s="2837">
        <f t="shared" si="15"/>
        <v>111</v>
      </c>
      <c r="AA36" s="1327">
        <f t="shared" si="3"/>
        <v>1</v>
      </c>
      <c r="AB36" s="1327">
        <f t="shared" si="4"/>
        <v>1</v>
      </c>
      <c r="AC36" s="1327">
        <f t="shared" si="5"/>
        <v>1</v>
      </c>
    </row>
    <row r="37" spans="1:29" ht="15">
      <c r="A37" s="163" t="s">
        <v>2144</v>
      </c>
      <c r="B37" s="2101" t="s">
        <v>2145</v>
      </c>
      <c r="C37" s="2838" t="s">
        <v>23</v>
      </c>
      <c r="D37" s="2839"/>
      <c r="E37" s="2840"/>
      <c r="F37" s="2841"/>
      <c r="G37" s="2842"/>
      <c r="H37" s="2843"/>
      <c r="I37" s="2840"/>
      <c r="J37" s="2843"/>
      <c r="K37" s="962"/>
      <c r="L37" s="2363"/>
      <c r="M37" s="2364"/>
      <c r="N37" s="2351"/>
      <c r="O37" s="2364"/>
      <c r="P37" s="3535" t="str">
        <f>A37</f>
        <v>成交单价</v>
      </c>
      <c r="Q37" s="3535"/>
      <c r="R37" s="3670">
        <f>E37</f>
        <v>0</v>
      </c>
      <c r="S37" s="3670"/>
      <c r="T37" s="3670">
        <f>G37</f>
        <v>0</v>
      </c>
      <c r="U37" s="3670"/>
      <c r="V37" s="3670">
        <f>I37</f>
        <v>0</v>
      </c>
      <c r="W37" s="3670"/>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535" t="str">
        <f>A38</f>
        <v>比较价值（元/平方米）</v>
      </c>
      <c r="Q38" s="3535"/>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1307"/>
      <c r="Y38" s="1307"/>
      <c r="Z38" s="1307"/>
      <c r="AA38" s="1307"/>
      <c r="AB38" s="1307"/>
      <c r="AC38" s="1307"/>
    </row>
    <row r="39" spans="1:29" ht="15.75" thickBot="1">
      <c r="A39" s="835" t="s">
        <v>3038</v>
      </c>
      <c r="B39" s="836"/>
      <c r="C39" s="2848" t="e">
        <f>R39</f>
        <v>#DIV/0!</v>
      </c>
      <c r="D39" s="2848"/>
      <c r="E39" s="2848"/>
      <c r="F39" s="2848"/>
      <c r="G39" s="2848"/>
      <c r="H39" s="2848"/>
      <c r="I39" s="2848"/>
      <c r="J39" s="2848"/>
      <c r="K39" s="964"/>
      <c r="L39" s="2363"/>
      <c r="M39" s="2364"/>
      <c r="N39" s="2364"/>
      <c r="O39" s="2364"/>
      <c r="P39" s="3532" t="str">
        <f>A39</f>
        <v>估价对象XX用房的比较价值（楼面单价，元/平方米）</v>
      </c>
      <c r="Q39" s="3533"/>
      <c r="R39" s="3671" t="e">
        <f>IF(F1="售价",ROUND(AVERAGE(R38:V38),0),ROUND(AVERAGE(R38:V38),1))</f>
        <v>#DIV/0!</v>
      </c>
      <c r="S39" s="3671"/>
      <c r="T39" s="3671"/>
      <c r="U39" s="3671"/>
      <c r="V39" s="3671"/>
      <c r="W39" s="3671"/>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2807</v>
      </c>
      <c r="B48" s="849"/>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2649</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2679</v>
      </c>
      <c r="C67" s="213" t="s">
        <v>2669</v>
      </c>
      <c r="D67" s="213" t="s">
        <v>2670</v>
      </c>
      <c r="E67" s="213" t="s">
        <v>2671</v>
      </c>
      <c r="F67" s="213" t="s">
        <v>2672</v>
      </c>
      <c r="G67" s="213" t="s">
        <v>2673</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37"/>
      <c r="C1" s="3127" t="s">
        <v>445</v>
      </c>
      <c r="D1" s="3108"/>
      <c r="E1" s="3138"/>
      <c r="F1" s="3110"/>
      <c r="G1" s="3139" t="s">
        <v>446</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447</v>
      </c>
      <c r="B2" s="2849" t="e">
        <f ca="1">IF(C2="——",ROUND(C37*D3/10000,0),ROUND(C37*D3/10000,0)-D2)</f>
        <v>#DIV/0!</v>
      </c>
      <c r="C2" s="3102"/>
      <c r="D2" s="2344" t="e">
        <f ca="1">SUMIF(INDIRECT("'"&amp;F2&amp;"'"&amp;"!A:A"),"承租人权益价值",INDIRECT("'"&amp;F2&amp;"'"&amp;"!c:c"))</f>
        <v>#REF!</v>
      </c>
      <c r="E2" s="3103" t="s">
        <v>872</v>
      </c>
      <c r="F2" s="3104"/>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545" t="s">
        <v>451</v>
      </c>
      <c r="D4" s="3546"/>
      <c r="E4" s="3547" t="s">
        <v>452</v>
      </c>
      <c r="F4" s="3548"/>
      <c r="G4" s="3545" t="s">
        <v>453</v>
      </c>
      <c r="H4" s="3546"/>
      <c r="I4" s="3545" t="s">
        <v>454</v>
      </c>
      <c r="J4" s="3546"/>
      <c r="K4" s="953" t="s">
        <v>455</v>
      </c>
      <c r="L4" s="2350"/>
      <c r="M4" s="2351"/>
      <c r="N4" s="2351"/>
      <c r="O4" s="2351"/>
      <c r="P4" s="3549" t="s">
        <v>456</v>
      </c>
      <c r="Q4" s="3550"/>
      <c r="R4" s="3564" t="s">
        <v>452</v>
      </c>
      <c r="S4" s="3565"/>
      <c r="T4" s="3564" t="s">
        <v>453</v>
      </c>
      <c r="U4" s="3565"/>
      <c r="V4" s="3537" t="s">
        <v>454</v>
      </c>
      <c r="W4" s="3537"/>
      <c r="X4" s="1318"/>
      <c r="Y4" s="3564" t="s">
        <v>456</v>
      </c>
      <c r="Z4" s="3565"/>
      <c r="AA4" s="3542" t="s">
        <v>452</v>
      </c>
      <c r="AB4" s="3543" t="s">
        <v>453</v>
      </c>
      <c r="AC4" s="3542" t="s">
        <v>454</v>
      </c>
    </row>
    <row r="5" spans="1:29" ht="15">
      <c r="A5" s="747"/>
      <c r="B5" s="748"/>
      <c r="C5" s="3568" t="s">
        <v>1134</v>
      </c>
      <c r="D5" s="3569"/>
      <c r="E5" s="3555" t="s">
        <v>1135</v>
      </c>
      <c r="F5" s="3556"/>
      <c r="G5" s="3568" t="s">
        <v>61</v>
      </c>
      <c r="H5" s="3569"/>
      <c r="I5" s="3568" t="s">
        <v>1136</v>
      </c>
      <c r="J5" s="3569"/>
      <c r="K5" s="953"/>
      <c r="L5" s="2350"/>
      <c r="M5" s="2351"/>
      <c r="N5" s="2351"/>
      <c r="O5" s="2351"/>
      <c r="P5" s="3551"/>
      <c r="Q5" s="3552"/>
      <c r="R5" s="3566"/>
      <c r="S5" s="3567"/>
      <c r="T5" s="3566"/>
      <c r="U5" s="3567"/>
      <c r="V5" s="3537"/>
      <c r="W5" s="3537"/>
      <c r="X5" s="1318"/>
      <c r="Y5" s="3566"/>
      <c r="Z5" s="3567"/>
      <c r="AA5" s="3543"/>
      <c r="AB5" s="3543"/>
      <c r="AC5" s="3543"/>
    </row>
    <row r="6" spans="1:29" ht="15.75" thickBot="1">
      <c r="A6" s="749"/>
      <c r="B6" s="750"/>
      <c r="C6" s="3613" t="s">
        <v>1137</v>
      </c>
      <c r="D6" s="3614"/>
      <c r="E6" s="3615" t="s">
        <v>1137</v>
      </c>
      <c r="F6" s="3616"/>
      <c r="G6" s="3613" t="s">
        <v>1137</v>
      </c>
      <c r="H6" s="3614"/>
      <c r="I6" s="3613" t="s">
        <v>1137</v>
      </c>
      <c r="J6" s="3614"/>
      <c r="K6" s="953" t="s">
        <v>398</v>
      </c>
      <c r="L6" s="2350"/>
      <c r="M6" s="2351"/>
      <c r="N6" s="2351"/>
      <c r="O6" s="2351"/>
      <c r="P6" s="3553"/>
      <c r="Q6" s="3554"/>
      <c r="R6" s="3566"/>
      <c r="S6" s="3567"/>
      <c r="T6" s="3575"/>
      <c r="U6" s="3576"/>
      <c r="V6" s="3537"/>
      <c r="W6" s="3537"/>
      <c r="X6" s="1318"/>
      <c r="Y6" s="3575"/>
      <c r="Z6" s="3576"/>
      <c r="AA6" s="3544"/>
      <c r="AB6" s="3544"/>
      <c r="AC6" s="3544"/>
    </row>
    <row r="7" spans="1:29" s="407" customFormat="1" ht="15.75" thickBot="1">
      <c r="A7" s="751" t="s">
        <v>399</v>
      </c>
      <c r="B7" s="752"/>
      <c r="C7" s="753">
        <f>'数据-取费表'!B2</f>
        <v>42921</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557" t="s">
        <v>400</v>
      </c>
      <c r="Q7" s="3572"/>
      <c r="R7" s="1319" t="s">
        <v>65</v>
      </c>
      <c r="S7" s="1320">
        <f t="shared" ref="S7:S14" si="0">F7</f>
        <v>0</v>
      </c>
      <c r="T7" s="1319" t="s">
        <v>65</v>
      </c>
      <c r="U7" s="1320">
        <f t="shared" ref="U7:U14" si="1">H7</f>
        <v>0</v>
      </c>
      <c r="V7" s="1319" t="s">
        <v>65</v>
      </c>
      <c r="W7" s="1320">
        <f t="shared" ref="W7:W14" si="2">J7</f>
        <v>0</v>
      </c>
      <c r="X7" s="1321"/>
      <c r="Y7" s="3557" t="s">
        <v>400</v>
      </c>
      <c r="Z7" s="3558"/>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557" t="s">
        <v>436</v>
      </c>
      <c r="Q8" s="3558"/>
      <c r="R8" s="1319" t="s">
        <v>65</v>
      </c>
      <c r="S8" s="1320">
        <f t="shared" si="0"/>
        <v>0</v>
      </c>
      <c r="T8" s="1319" t="s">
        <v>65</v>
      </c>
      <c r="U8" s="1320">
        <f t="shared" si="1"/>
        <v>0</v>
      </c>
      <c r="V8" s="1319" t="s">
        <v>65</v>
      </c>
      <c r="W8" s="1320">
        <f t="shared" si="2"/>
        <v>0</v>
      </c>
      <c r="X8" s="1321"/>
      <c r="Y8" s="3557" t="s">
        <v>436</v>
      </c>
      <c r="Z8" s="3558"/>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535" t="s">
        <v>403</v>
      </c>
      <c r="Q9" s="296" t="str">
        <f t="shared" ref="Q9:Q14" si="6">B9</f>
        <v>用途</v>
      </c>
      <c r="R9" s="1319" t="s">
        <v>65</v>
      </c>
      <c r="S9" s="1320">
        <f t="shared" si="0"/>
        <v>100</v>
      </c>
      <c r="T9" s="1319" t="s">
        <v>65</v>
      </c>
      <c r="U9" s="1320">
        <f t="shared" si="1"/>
        <v>100</v>
      </c>
      <c r="V9" s="1319" t="s">
        <v>65</v>
      </c>
      <c r="W9" s="1320">
        <f t="shared" si="2"/>
        <v>100</v>
      </c>
      <c r="X9" s="1321"/>
      <c r="Y9" s="3512"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535"/>
      <c r="Q10" s="296" t="str">
        <f t="shared" si="6"/>
        <v>土地使用年限（年）</v>
      </c>
      <c r="R10" s="1319" t="s">
        <v>65</v>
      </c>
      <c r="S10" s="1320">
        <f t="shared" si="0"/>
        <v>100</v>
      </c>
      <c r="T10" s="1319" t="s">
        <v>65</v>
      </c>
      <c r="U10" s="1320">
        <f t="shared" si="1"/>
        <v>100</v>
      </c>
      <c r="V10" s="1319" t="s">
        <v>65</v>
      </c>
      <c r="W10" s="1320">
        <f t="shared" si="2"/>
        <v>100</v>
      </c>
      <c r="X10" s="1321"/>
      <c r="Y10" s="3512"/>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535"/>
      <c r="Q11" s="296">
        <f t="shared" si="6"/>
        <v>111</v>
      </c>
      <c r="R11" s="1319" t="s">
        <v>65</v>
      </c>
      <c r="S11" s="1320">
        <f t="shared" si="0"/>
        <v>100</v>
      </c>
      <c r="T11" s="1319" t="s">
        <v>65</v>
      </c>
      <c r="U11" s="1320">
        <f t="shared" si="1"/>
        <v>100</v>
      </c>
      <c r="V11" s="1319" t="s">
        <v>65</v>
      </c>
      <c r="W11" s="1320">
        <f t="shared" si="2"/>
        <v>100</v>
      </c>
      <c r="X11" s="1321"/>
      <c r="Y11" s="3512"/>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535"/>
      <c r="Q12" s="296">
        <f t="shared" si="6"/>
        <v>111</v>
      </c>
      <c r="R12" s="1319" t="s">
        <v>65</v>
      </c>
      <c r="S12" s="1320">
        <f t="shared" si="0"/>
        <v>100</v>
      </c>
      <c r="T12" s="1319" t="s">
        <v>65</v>
      </c>
      <c r="U12" s="1320">
        <f t="shared" si="1"/>
        <v>100</v>
      </c>
      <c r="V12" s="1319" t="s">
        <v>65</v>
      </c>
      <c r="W12" s="1320">
        <f t="shared" si="2"/>
        <v>100</v>
      </c>
      <c r="X12" s="1321"/>
      <c r="Y12" s="3512"/>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535"/>
      <c r="Q13" s="296">
        <f t="shared" si="6"/>
        <v>111</v>
      </c>
      <c r="R13" s="1319" t="s">
        <v>65</v>
      </c>
      <c r="S13" s="1320">
        <f t="shared" si="0"/>
        <v>100</v>
      </c>
      <c r="T13" s="1319" t="s">
        <v>65</v>
      </c>
      <c r="U13" s="1320">
        <f t="shared" si="1"/>
        <v>100</v>
      </c>
      <c r="V13" s="1319" t="s">
        <v>65</v>
      </c>
      <c r="W13" s="1320">
        <f t="shared" si="2"/>
        <v>100</v>
      </c>
      <c r="X13" s="1321"/>
      <c r="Y13" s="3512"/>
      <c r="Z13" s="344">
        <f t="shared" si="7"/>
        <v>111</v>
      </c>
      <c r="AA13" s="1322">
        <f t="shared" si="3"/>
        <v>1</v>
      </c>
      <c r="AB13" s="1322">
        <f t="shared" si="4"/>
        <v>1</v>
      </c>
      <c r="AC13" s="1322">
        <f t="shared" si="5"/>
        <v>1</v>
      </c>
    </row>
    <row r="14" spans="1:29" ht="94.5">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538" t="s">
        <v>408</v>
      </c>
      <c r="Q14" s="1323" t="str">
        <f t="shared" si="6"/>
        <v>交通便捷度</v>
      </c>
      <c r="R14" s="1324" t="s">
        <v>65</v>
      </c>
      <c r="S14" s="1325">
        <f t="shared" si="0"/>
        <v>100</v>
      </c>
      <c r="T14" s="1324" t="s">
        <v>65</v>
      </c>
      <c r="U14" s="1325">
        <f t="shared" si="1"/>
        <v>100</v>
      </c>
      <c r="V14" s="1324" t="s">
        <v>65</v>
      </c>
      <c r="W14" s="1325">
        <f t="shared" si="2"/>
        <v>100</v>
      </c>
      <c r="X14" s="1318"/>
      <c r="Y14" s="3538"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539"/>
      <c r="Q15" s="1323"/>
      <c r="R15" s="1324"/>
      <c r="S15" s="1325"/>
      <c r="T15" s="1324"/>
      <c r="U15" s="1325"/>
      <c r="V15" s="1324"/>
      <c r="W15" s="1325"/>
      <c r="X15" s="1318"/>
      <c r="Y15" s="3539"/>
      <c r="Z15" s="1326"/>
      <c r="AA15" s="1327">
        <v>1</v>
      </c>
      <c r="AB15" s="1327">
        <v>1</v>
      </c>
      <c r="AC15" s="1327">
        <v>1</v>
      </c>
    </row>
    <row r="16" spans="1:29" ht="40.5">
      <c r="A16" s="771"/>
      <c r="B16" s="1356" t="s">
        <v>2678</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539"/>
      <c r="Q16" s="1323" t="str">
        <f>B16</f>
        <v>公共配套设施</v>
      </c>
      <c r="R16" s="1324" t="s">
        <v>65</v>
      </c>
      <c r="S16" s="1325">
        <f>F16</f>
        <v>100</v>
      </c>
      <c r="T16" s="1324" t="s">
        <v>65</v>
      </c>
      <c r="U16" s="1325">
        <f>H16</f>
        <v>100</v>
      </c>
      <c r="V16" s="1324" t="s">
        <v>65</v>
      </c>
      <c r="W16" s="1325">
        <f>J16</f>
        <v>100</v>
      </c>
      <c r="X16" s="1318"/>
      <c r="Y16" s="3539"/>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539"/>
      <c r="Q17" s="1323"/>
      <c r="R17" s="1324"/>
      <c r="S17" s="1325"/>
      <c r="T17" s="1324"/>
      <c r="U17" s="1325"/>
      <c r="V17" s="1324"/>
      <c r="W17" s="1325"/>
      <c r="X17" s="1318"/>
      <c r="Y17" s="3539"/>
      <c r="Z17" s="1326"/>
      <c r="AA17" s="1327">
        <v>1</v>
      </c>
      <c r="AB17" s="1327">
        <v>1</v>
      </c>
      <c r="AC17" s="1327">
        <v>1</v>
      </c>
    </row>
    <row r="18" spans="1:29" ht="40.5">
      <c r="A18" s="771"/>
      <c r="B18" s="1412" t="s">
        <v>2680</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539"/>
      <c r="Q18" s="2751" t="str">
        <f>B18</f>
        <v>基础设施水平</v>
      </c>
      <c r="R18" s="1324" t="s">
        <v>65</v>
      </c>
      <c r="S18" s="1325">
        <f>F18</f>
        <v>100</v>
      </c>
      <c r="T18" s="1324" t="s">
        <v>65</v>
      </c>
      <c r="U18" s="1325">
        <f>H18</f>
        <v>100</v>
      </c>
      <c r="V18" s="1324" t="s">
        <v>65</v>
      </c>
      <c r="W18" s="1325">
        <f>J18</f>
        <v>100</v>
      </c>
      <c r="X18" s="2753"/>
      <c r="Y18" s="3539"/>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539"/>
      <c r="Q19" s="2751"/>
      <c r="R19" s="1324"/>
      <c r="S19" s="1325"/>
      <c r="T19" s="1324"/>
      <c r="U19" s="1325"/>
      <c r="V19" s="1324"/>
      <c r="W19" s="1325"/>
      <c r="X19" s="2753"/>
      <c r="Y19" s="3539"/>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539"/>
      <c r="Q20" s="1323" t="str">
        <f>B20</f>
        <v>自然及人文环境</v>
      </c>
      <c r="R20" s="1324" t="s">
        <v>65</v>
      </c>
      <c r="S20" s="1325">
        <f>F20</f>
        <v>100</v>
      </c>
      <c r="T20" s="1324" t="s">
        <v>65</v>
      </c>
      <c r="U20" s="1325">
        <f>H20</f>
        <v>100</v>
      </c>
      <c r="V20" s="1324" t="s">
        <v>65</v>
      </c>
      <c r="W20" s="1325">
        <f>J20</f>
        <v>100</v>
      </c>
      <c r="X20" s="1318"/>
      <c r="Y20" s="3539"/>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539"/>
      <c r="Q21" s="1323"/>
      <c r="R21" s="1324"/>
      <c r="S21" s="1325"/>
      <c r="T21" s="1324"/>
      <c r="U21" s="1325"/>
      <c r="V21" s="1324"/>
      <c r="W21" s="1325"/>
      <c r="X21" s="1318"/>
      <c r="Y21" s="3539"/>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539"/>
      <c r="Q22" s="1323" t="str">
        <f>B22</f>
        <v>楼层</v>
      </c>
      <c r="R22" s="1324" t="s">
        <v>65</v>
      </c>
      <c r="S22" s="1325">
        <f>F22</f>
        <v>100</v>
      </c>
      <c r="T22" s="1324" t="s">
        <v>65</v>
      </c>
      <c r="U22" s="1325">
        <f>H22</f>
        <v>100</v>
      </c>
      <c r="V22" s="1324" t="s">
        <v>65</v>
      </c>
      <c r="W22" s="1325">
        <f>J22</f>
        <v>100</v>
      </c>
      <c r="X22" s="1318"/>
      <c r="Y22" s="3539"/>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539"/>
      <c r="Q23" s="1323">
        <f>B23</f>
        <v>111</v>
      </c>
      <c r="R23" s="1324" t="s">
        <v>65</v>
      </c>
      <c r="S23" s="1325">
        <f>F23</f>
        <v>100</v>
      </c>
      <c r="T23" s="1324" t="s">
        <v>65</v>
      </c>
      <c r="U23" s="1325">
        <f>H23</f>
        <v>100</v>
      </c>
      <c r="V23" s="1324" t="s">
        <v>65</v>
      </c>
      <c r="W23" s="1325">
        <f>J23</f>
        <v>100</v>
      </c>
      <c r="X23" s="1318"/>
      <c r="Y23" s="3539"/>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539"/>
      <c r="Q24" s="1323">
        <f t="shared" ref="Q24:Q34" si="11">B24</f>
        <v>111</v>
      </c>
      <c r="R24" s="1324" t="s">
        <v>65</v>
      </c>
      <c r="S24" s="1325">
        <f>F24</f>
        <v>100</v>
      </c>
      <c r="T24" s="1324" t="s">
        <v>65</v>
      </c>
      <c r="U24" s="1325">
        <f>H24</f>
        <v>100</v>
      </c>
      <c r="V24" s="1324" t="s">
        <v>65</v>
      </c>
      <c r="W24" s="1325">
        <f>J24</f>
        <v>100</v>
      </c>
      <c r="X24" s="1318"/>
      <c r="Y24" s="3539"/>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539"/>
      <c r="Q25" s="296">
        <f t="shared" si="11"/>
        <v>111</v>
      </c>
      <c r="R25" s="1319" t="s">
        <v>65</v>
      </c>
      <c r="S25" s="1320">
        <f>F25</f>
        <v>100</v>
      </c>
      <c r="T25" s="1319" t="s">
        <v>65</v>
      </c>
      <c r="U25" s="1320">
        <f>H25</f>
        <v>100</v>
      </c>
      <c r="V25" s="1319" t="s">
        <v>65</v>
      </c>
      <c r="W25" s="1320">
        <f>J25</f>
        <v>100</v>
      </c>
      <c r="X25" s="1321"/>
      <c r="Y25" s="3539"/>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540"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541"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541"/>
      <c r="Q27" s="1328" t="str">
        <f t="shared" si="11"/>
        <v>成新率</v>
      </c>
      <c r="R27" s="1329" t="s">
        <v>65</v>
      </c>
      <c r="S27" s="1330" t="e">
        <f t="shared" si="12"/>
        <v>#N/A</v>
      </c>
      <c r="T27" s="1329" t="s">
        <v>65</v>
      </c>
      <c r="U27" s="1330" t="e">
        <f t="shared" si="13"/>
        <v>#N/A</v>
      </c>
      <c r="V27" s="1329" t="s">
        <v>65</v>
      </c>
      <c r="W27" s="1330" t="e">
        <f t="shared" si="14"/>
        <v>#N/A</v>
      </c>
      <c r="X27" s="1331"/>
      <c r="Y27" s="3541"/>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541"/>
      <c r="Q28" s="1323" t="str">
        <f t="shared" si="11"/>
        <v>物业等级</v>
      </c>
      <c r="R28" s="1324" t="s">
        <v>65</v>
      </c>
      <c r="S28" s="1325">
        <f t="shared" si="12"/>
        <v>100</v>
      </c>
      <c r="T28" s="1324" t="s">
        <v>65</v>
      </c>
      <c r="U28" s="1325">
        <f t="shared" si="13"/>
        <v>100</v>
      </c>
      <c r="V28" s="1324" t="s">
        <v>65</v>
      </c>
      <c r="W28" s="1325">
        <f t="shared" si="14"/>
        <v>100</v>
      </c>
      <c r="X28" s="1318"/>
      <c r="Y28" s="3541"/>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541"/>
      <c r="Q29" s="1323" t="str">
        <f t="shared" si="11"/>
        <v>有无电梯</v>
      </c>
      <c r="R29" s="1324" t="s">
        <v>65</v>
      </c>
      <c r="S29" s="1325">
        <f t="shared" si="12"/>
        <v>100</v>
      </c>
      <c r="T29" s="1324" t="s">
        <v>65</v>
      </c>
      <c r="U29" s="1325">
        <f t="shared" si="13"/>
        <v>100</v>
      </c>
      <c r="V29" s="1324" t="s">
        <v>65</v>
      </c>
      <c r="W29" s="1325">
        <f t="shared" si="14"/>
        <v>100</v>
      </c>
      <c r="X29" s="1318"/>
      <c r="Y29" s="3541"/>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541"/>
      <c r="Q30" s="1323" t="str">
        <f t="shared" si="11"/>
        <v>建筑面积</v>
      </c>
      <c r="R30" s="1324" t="s">
        <v>65</v>
      </c>
      <c r="S30" s="1325" t="e">
        <f t="shared" si="12"/>
        <v>#N/A</v>
      </c>
      <c r="T30" s="1324" t="s">
        <v>65</v>
      </c>
      <c r="U30" s="1325" t="e">
        <f t="shared" si="13"/>
        <v>#N/A</v>
      </c>
      <c r="V30" s="1324" t="s">
        <v>65</v>
      </c>
      <c r="W30" s="1325" t="e">
        <f t="shared" si="14"/>
        <v>#N/A</v>
      </c>
      <c r="X30" s="1318"/>
      <c r="Y30" s="3541"/>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541"/>
      <c r="Q31" s="296" t="str">
        <f t="shared" si="11"/>
        <v>是否封闭</v>
      </c>
      <c r="R31" s="1319" t="s">
        <v>65</v>
      </c>
      <c r="S31" s="1320">
        <f t="shared" si="12"/>
        <v>100</v>
      </c>
      <c r="T31" s="1319" t="s">
        <v>65</v>
      </c>
      <c r="U31" s="1320">
        <f t="shared" si="13"/>
        <v>100</v>
      </c>
      <c r="V31" s="1319" t="s">
        <v>65</v>
      </c>
      <c r="W31" s="1320">
        <f t="shared" si="14"/>
        <v>100</v>
      </c>
      <c r="X31" s="1321"/>
      <c r="Y31" s="3541"/>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541" t="s">
        <v>410</v>
      </c>
      <c r="Q32" s="1323">
        <f t="shared" si="11"/>
        <v>111</v>
      </c>
      <c r="R32" s="1324" t="s">
        <v>65</v>
      </c>
      <c r="S32" s="1325">
        <f t="shared" si="12"/>
        <v>100</v>
      </c>
      <c r="T32" s="1324" t="s">
        <v>65</v>
      </c>
      <c r="U32" s="1325">
        <f t="shared" si="13"/>
        <v>100</v>
      </c>
      <c r="V32" s="1324" t="s">
        <v>65</v>
      </c>
      <c r="W32" s="1325">
        <f t="shared" si="14"/>
        <v>100</v>
      </c>
      <c r="X32" s="1318"/>
      <c r="Y32" s="3541"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541"/>
      <c r="Q33" s="1323">
        <f t="shared" si="11"/>
        <v>111</v>
      </c>
      <c r="R33" s="1324" t="s">
        <v>65</v>
      </c>
      <c r="S33" s="1325">
        <f t="shared" si="12"/>
        <v>100</v>
      </c>
      <c r="T33" s="1324" t="s">
        <v>65</v>
      </c>
      <c r="U33" s="1325">
        <f t="shared" si="13"/>
        <v>100</v>
      </c>
      <c r="V33" s="1324" t="s">
        <v>65</v>
      </c>
      <c r="W33" s="1325">
        <f t="shared" si="14"/>
        <v>100</v>
      </c>
      <c r="X33" s="1318"/>
      <c r="Y33" s="3541"/>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541"/>
      <c r="Q34" s="1323">
        <f t="shared" si="11"/>
        <v>111</v>
      </c>
      <c r="R34" s="1324" t="s">
        <v>65</v>
      </c>
      <c r="S34" s="1325">
        <f t="shared" si="12"/>
        <v>100</v>
      </c>
      <c r="T34" s="1324" t="s">
        <v>65</v>
      </c>
      <c r="U34" s="1325">
        <f t="shared" si="13"/>
        <v>100</v>
      </c>
      <c r="V34" s="1324" t="s">
        <v>65</v>
      </c>
      <c r="W34" s="1325">
        <f t="shared" si="14"/>
        <v>100</v>
      </c>
      <c r="X34" s="1318"/>
      <c r="Y34" s="3541"/>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535" t="str">
        <f>A35</f>
        <v>成交单价（元/平方米）</v>
      </c>
      <c r="Q35" s="3535"/>
      <c r="R35" s="3670">
        <f>E35</f>
        <v>0</v>
      </c>
      <c r="S35" s="3670"/>
      <c r="T35" s="3670">
        <f>G35</f>
        <v>0</v>
      </c>
      <c r="U35" s="3670"/>
      <c r="V35" s="3670">
        <f>I35</f>
        <v>0</v>
      </c>
      <c r="W35" s="3670"/>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535" t="str">
        <f>A36</f>
        <v>比较价值（元/平方米）</v>
      </c>
      <c r="Q36" s="3535"/>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1307"/>
      <c r="Y36" s="1307"/>
      <c r="Z36" s="1307"/>
      <c r="AA36" s="1307"/>
      <c r="AB36" s="1307"/>
      <c r="AC36" s="1307"/>
    </row>
    <row r="37" spans="1:29" ht="15.75" thickBot="1">
      <c r="A37" s="115" t="s">
        <v>3032</v>
      </c>
      <c r="B37" s="836"/>
      <c r="C37" s="2848" t="e">
        <f>R37</f>
        <v>#DIV/0!</v>
      </c>
      <c r="D37" s="2848"/>
      <c r="E37" s="2848"/>
      <c r="F37" s="2848"/>
      <c r="G37" s="2848"/>
      <c r="H37" s="2848"/>
      <c r="I37" s="2848"/>
      <c r="J37" s="2848"/>
      <c r="K37" s="1402"/>
      <c r="L37" s="2363"/>
      <c r="M37" s="2364"/>
      <c r="N37" s="2364"/>
      <c r="O37" s="2364"/>
      <c r="P37" s="3532" t="str">
        <f>A37</f>
        <v>估价对象XX用房的比较价值（楼面单价，元/平方米）</v>
      </c>
      <c r="Q37" s="3533"/>
      <c r="R37" s="3671" t="e">
        <f>IF(F1="售价",ROUND(AVERAGE(R36:V36),0),ROUND(AVERAGE(R36:V36),1))</f>
        <v>#DIV/0!</v>
      </c>
      <c r="S37" s="3671"/>
      <c r="T37" s="3671"/>
      <c r="U37" s="3671"/>
      <c r="V37" s="3671"/>
      <c r="W37" s="3671"/>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2679</v>
      </c>
      <c r="C65" s="213" t="s">
        <v>2669</v>
      </c>
      <c r="D65" s="213" t="s">
        <v>2670</v>
      </c>
      <c r="E65" s="213" t="s">
        <v>2671</v>
      </c>
      <c r="F65" s="213" t="s">
        <v>2672</v>
      </c>
      <c r="G65" s="213" t="s">
        <v>2673</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2901</v>
      </c>
      <c r="D3" s="3058"/>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545" t="s">
        <v>392</v>
      </c>
      <c r="D4" s="3546"/>
      <c r="E4" s="3547" t="s">
        <v>393</v>
      </c>
      <c r="F4" s="3548"/>
      <c r="G4" s="3545" t="s">
        <v>394</v>
      </c>
      <c r="H4" s="3546"/>
      <c r="I4" s="3545" t="s">
        <v>395</v>
      </c>
      <c r="J4" s="3546"/>
      <c r="K4" s="953" t="s">
        <v>396</v>
      </c>
      <c r="L4" s="2350"/>
      <c r="M4" s="2351"/>
      <c r="N4" s="2351"/>
      <c r="O4" s="2351"/>
      <c r="P4" s="3549" t="s">
        <v>397</v>
      </c>
      <c r="Q4" s="3550"/>
      <c r="R4" s="3564" t="s">
        <v>393</v>
      </c>
      <c r="S4" s="3565"/>
      <c r="T4" s="3564" t="s">
        <v>394</v>
      </c>
      <c r="U4" s="3565"/>
      <c r="V4" s="3537" t="s">
        <v>395</v>
      </c>
      <c r="W4" s="3537"/>
      <c r="X4" s="1318"/>
      <c r="Y4" s="3564" t="s">
        <v>397</v>
      </c>
      <c r="Z4" s="3565"/>
      <c r="AA4" s="3542" t="s">
        <v>393</v>
      </c>
      <c r="AB4" s="3543" t="s">
        <v>394</v>
      </c>
      <c r="AC4" s="3542" t="s">
        <v>395</v>
      </c>
    </row>
    <row r="5" spans="1:30" ht="15">
      <c r="A5" s="747"/>
      <c r="B5" s="748"/>
      <c r="C5" s="3568" t="s">
        <v>1134</v>
      </c>
      <c r="D5" s="3569"/>
      <c r="E5" s="3555" t="s">
        <v>1135</v>
      </c>
      <c r="F5" s="3556"/>
      <c r="G5" s="3568" t="s">
        <v>1138</v>
      </c>
      <c r="H5" s="3569"/>
      <c r="I5" s="3568" t="s">
        <v>1136</v>
      </c>
      <c r="J5" s="3569"/>
      <c r="K5" s="953"/>
      <c r="L5" s="2350"/>
      <c r="M5" s="2351"/>
      <c r="N5" s="2351"/>
      <c r="O5" s="2351"/>
      <c r="P5" s="3551"/>
      <c r="Q5" s="3552"/>
      <c r="R5" s="3566"/>
      <c r="S5" s="3567"/>
      <c r="T5" s="3566"/>
      <c r="U5" s="3567"/>
      <c r="V5" s="3537"/>
      <c r="W5" s="3537"/>
      <c r="X5" s="1318"/>
      <c r="Y5" s="3566"/>
      <c r="Z5" s="3567"/>
      <c r="AA5" s="3543"/>
      <c r="AB5" s="3543"/>
      <c r="AC5" s="3543"/>
    </row>
    <row r="6" spans="1:30" ht="15.75" thickBot="1">
      <c r="A6" s="749"/>
      <c r="B6" s="750"/>
      <c r="C6" s="3613" t="s">
        <v>1137</v>
      </c>
      <c r="D6" s="3614"/>
      <c r="E6" s="3615" t="s">
        <v>1137</v>
      </c>
      <c r="F6" s="3616"/>
      <c r="G6" s="3613" t="s">
        <v>1137</v>
      </c>
      <c r="H6" s="3614"/>
      <c r="I6" s="3613" t="s">
        <v>1137</v>
      </c>
      <c r="J6" s="3614"/>
      <c r="K6" s="953" t="s">
        <v>398</v>
      </c>
      <c r="L6" s="2350"/>
      <c r="M6" s="2351"/>
      <c r="N6" s="2351"/>
      <c r="O6" s="2351"/>
      <c r="P6" s="3553"/>
      <c r="Q6" s="3554"/>
      <c r="R6" s="3566"/>
      <c r="S6" s="3567"/>
      <c r="T6" s="3575"/>
      <c r="U6" s="3576"/>
      <c r="V6" s="3537"/>
      <c r="W6" s="3537"/>
      <c r="X6" s="1318"/>
      <c r="Y6" s="3575"/>
      <c r="Z6" s="3576"/>
      <c r="AA6" s="3544"/>
      <c r="AB6" s="3544"/>
      <c r="AC6" s="3544"/>
    </row>
    <row r="7" spans="1:30" s="407" customFormat="1" ht="15.75" thickBot="1">
      <c r="A7" s="751" t="s">
        <v>399</v>
      </c>
      <c r="B7" s="752"/>
      <c r="C7" s="753">
        <f>'数据-取费表'!B2</f>
        <v>42921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557" t="s">
        <v>400</v>
      </c>
      <c r="Q7" s="3572"/>
      <c r="R7" s="1319" t="s">
        <v>65</v>
      </c>
      <c r="S7" s="1320">
        <f t="shared" ref="S7:S15" si="0">F7</f>
        <v>0</v>
      </c>
      <c r="T7" s="1319" t="s">
        <v>65</v>
      </c>
      <c r="U7" s="1320">
        <f t="shared" ref="U7:U15" si="1">H7</f>
        <v>0</v>
      </c>
      <c r="V7" s="1319" t="s">
        <v>65</v>
      </c>
      <c r="W7" s="1320">
        <f t="shared" ref="W7:W15" si="2">J7</f>
        <v>0</v>
      </c>
      <c r="X7" s="1321"/>
      <c r="Y7" s="3557" t="s">
        <v>400</v>
      </c>
      <c r="Z7" s="3558"/>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557" t="s">
        <v>436</v>
      </c>
      <c r="Q8" s="3558"/>
      <c r="R8" s="1319" t="s">
        <v>65</v>
      </c>
      <c r="S8" s="1320">
        <f t="shared" si="0"/>
        <v>0</v>
      </c>
      <c r="T8" s="1319" t="s">
        <v>65</v>
      </c>
      <c r="U8" s="1320">
        <f t="shared" si="1"/>
        <v>0</v>
      </c>
      <c r="V8" s="1319" t="s">
        <v>65</v>
      </c>
      <c r="W8" s="1320">
        <f t="shared" si="2"/>
        <v>0</v>
      </c>
      <c r="X8" s="1321"/>
      <c r="Y8" s="3557" t="s">
        <v>436</v>
      </c>
      <c r="Z8" s="3558"/>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535" t="s">
        <v>403</v>
      </c>
      <c r="Q9" s="296" t="str">
        <f t="shared" ref="Q9:Q15" si="6">B9</f>
        <v>用途</v>
      </c>
      <c r="R9" s="1319" t="s">
        <v>65</v>
      </c>
      <c r="S9" s="1320">
        <f t="shared" si="0"/>
        <v>100</v>
      </c>
      <c r="T9" s="1319" t="s">
        <v>65</v>
      </c>
      <c r="U9" s="1320">
        <f t="shared" si="1"/>
        <v>100</v>
      </c>
      <c r="V9" s="1319" t="s">
        <v>65</v>
      </c>
      <c r="W9" s="1320">
        <f t="shared" si="2"/>
        <v>100</v>
      </c>
      <c r="X9" s="1321"/>
      <c r="Y9" s="3512"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113</v>
      </c>
      <c r="G10" s="806"/>
      <c r="H10" s="426">
        <f>ROUND(100/'数据-取费表'!G16,0)</f>
        <v>113</v>
      </c>
      <c r="I10" s="806"/>
      <c r="J10" s="426">
        <f>ROUND(100/'数据-取费表'!G16,0)</f>
        <v>113</v>
      </c>
      <c r="K10" s="1081"/>
      <c r="L10" s="2355"/>
      <c r="M10" s="2356"/>
      <c r="N10" s="2356"/>
      <c r="O10" s="2357"/>
      <c r="P10" s="3535"/>
      <c r="Q10" s="296" t="str">
        <f t="shared" si="6"/>
        <v>土地使用年限（年）</v>
      </c>
      <c r="R10" s="1319" t="s">
        <v>65</v>
      </c>
      <c r="S10" s="1320">
        <f t="shared" si="0"/>
        <v>113</v>
      </c>
      <c r="T10" s="1319" t="s">
        <v>65</v>
      </c>
      <c r="U10" s="1320">
        <f t="shared" si="1"/>
        <v>113</v>
      </c>
      <c r="V10" s="1319" t="s">
        <v>65</v>
      </c>
      <c r="W10" s="1320">
        <f t="shared" si="2"/>
        <v>113</v>
      </c>
      <c r="X10" s="1321"/>
      <c r="Y10" s="3512"/>
      <c r="Z10" s="344" t="str">
        <f t="shared" si="7"/>
        <v>土地使用年限（年）</v>
      </c>
      <c r="AA10" s="1322">
        <f t="shared" si="3"/>
        <v>0.88495575221238942</v>
      </c>
      <c r="AB10" s="1322">
        <f t="shared" si="4"/>
        <v>0.88495575221238942</v>
      </c>
      <c r="AC10" s="1322">
        <f t="shared" si="5"/>
        <v>0.88495575221238942</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535"/>
      <c r="Q11" s="296" t="str">
        <f t="shared" si="6"/>
        <v>容积率</v>
      </c>
      <c r="R11" s="1319" t="s">
        <v>65</v>
      </c>
      <c r="S11" s="1320" t="e">
        <f t="shared" si="0"/>
        <v>#N/A</v>
      </c>
      <c r="T11" s="1319" t="s">
        <v>65</v>
      </c>
      <c r="U11" s="1320" t="e">
        <f t="shared" si="1"/>
        <v>#N/A</v>
      </c>
      <c r="V11" s="1319" t="s">
        <v>65</v>
      </c>
      <c r="W11" s="1320" t="e">
        <f t="shared" si="2"/>
        <v>#N/A</v>
      </c>
      <c r="X11" s="1321"/>
      <c r="Y11" s="3512"/>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535"/>
      <c r="Q12" s="296" t="str">
        <f t="shared" si="6"/>
        <v>配建</v>
      </c>
      <c r="R12" s="1319" t="s">
        <v>65</v>
      </c>
      <c r="S12" s="1320">
        <f t="shared" si="0"/>
        <v>100</v>
      </c>
      <c r="T12" s="1319" t="s">
        <v>65</v>
      </c>
      <c r="U12" s="1320">
        <f t="shared" si="1"/>
        <v>100</v>
      </c>
      <c r="V12" s="1319" t="s">
        <v>65</v>
      </c>
      <c r="W12" s="1320">
        <f t="shared" si="2"/>
        <v>100</v>
      </c>
      <c r="X12" s="1321"/>
      <c r="Y12" s="3512"/>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535"/>
      <c r="Q13" s="296">
        <f t="shared" si="6"/>
        <v>111</v>
      </c>
      <c r="R13" s="1319" t="s">
        <v>65</v>
      </c>
      <c r="S13" s="1320">
        <f t="shared" si="0"/>
        <v>100</v>
      </c>
      <c r="T13" s="1319" t="s">
        <v>65</v>
      </c>
      <c r="U13" s="1320">
        <f t="shared" si="1"/>
        <v>100</v>
      </c>
      <c r="V13" s="1319" t="s">
        <v>65</v>
      </c>
      <c r="W13" s="1320">
        <f t="shared" si="2"/>
        <v>100</v>
      </c>
      <c r="X13" s="1321"/>
      <c r="Y13" s="3512"/>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535"/>
      <c r="Q14" s="296">
        <f t="shared" si="6"/>
        <v>111</v>
      </c>
      <c r="R14" s="1319" t="s">
        <v>65</v>
      </c>
      <c r="S14" s="1320">
        <f t="shared" si="0"/>
        <v>100</v>
      </c>
      <c r="T14" s="1319" t="s">
        <v>65</v>
      </c>
      <c r="U14" s="1320">
        <f t="shared" si="1"/>
        <v>100</v>
      </c>
      <c r="V14" s="1319" t="s">
        <v>65</v>
      </c>
      <c r="W14" s="1320">
        <f t="shared" si="2"/>
        <v>100</v>
      </c>
      <c r="X14" s="1321"/>
      <c r="Y14" s="3512"/>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538" t="s">
        <v>408</v>
      </c>
      <c r="Q15" s="1323" t="str">
        <f t="shared" si="6"/>
        <v>居住社区成熟度</v>
      </c>
      <c r="R15" s="1324" t="s">
        <v>65</v>
      </c>
      <c r="S15" s="1325">
        <f t="shared" si="0"/>
        <v>100</v>
      </c>
      <c r="T15" s="1324" t="s">
        <v>65</v>
      </c>
      <c r="U15" s="1325">
        <f t="shared" si="1"/>
        <v>100</v>
      </c>
      <c r="V15" s="1324" t="s">
        <v>65</v>
      </c>
      <c r="W15" s="1325">
        <f t="shared" si="2"/>
        <v>100</v>
      </c>
      <c r="X15" s="1318"/>
      <c r="Y15" s="3538"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539"/>
      <c r="Q16" s="1323"/>
      <c r="R16" s="1324"/>
      <c r="S16" s="1325"/>
      <c r="T16" s="1324"/>
      <c r="U16" s="1325"/>
      <c r="V16" s="1324"/>
      <c r="W16" s="1325"/>
      <c r="X16" s="1318"/>
      <c r="Y16" s="3539"/>
      <c r="Z16" s="1326"/>
      <c r="AA16" s="1327">
        <v>1</v>
      </c>
      <c r="AB16" s="1327">
        <v>1</v>
      </c>
      <c r="AC16" s="1327">
        <v>1</v>
      </c>
    </row>
    <row r="17" spans="1:29" ht="81">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539"/>
      <c r="Q17" s="1323" t="str">
        <f>B17</f>
        <v>商业繁华度</v>
      </c>
      <c r="R17" s="1324" t="s">
        <v>65</v>
      </c>
      <c r="S17" s="1325">
        <f>F17</f>
        <v>100</v>
      </c>
      <c r="T17" s="1324" t="s">
        <v>65</v>
      </c>
      <c r="U17" s="1325">
        <f>H17</f>
        <v>100</v>
      </c>
      <c r="V17" s="1324" t="s">
        <v>65</v>
      </c>
      <c r="W17" s="1325">
        <f>J17</f>
        <v>100</v>
      </c>
      <c r="X17" s="1318"/>
      <c r="Y17" s="3539"/>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539"/>
      <c r="Q18" s="1323"/>
      <c r="R18" s="1324"/>
      <c r="S18" s="1325"/>
      <c r="T18" s="1324"/>
      <c r="U18" s="1325"/>
      <c r="V18" s="1324"/>
      <c r="W18" s="1325"/>
      <c r="X18" s="1318"/>
      <c r="Y18" s="3539"/>
      <c r="Z18" s="1326"/>
      <c r="AA18" s="1327">
        <v>1</v>
      </c>
      <c r="AB18" s="1327">
        <v>1</v>
      </c>
      <c r="AC18" s="1327">
        <v>1</v>
      </c>
    </row>
    <row r="19" spans="1:29" ht="81">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539"/>
      <c r="Q19" s="1323" t="str">
        <f>B19</f>
        <v>办公集聚程度</v>
      </c>
      <c r="R19" s="1324" t="s">
        <v>65</v>
      </c>
      <c r="S19" s="1325">
        <f>F19</f>
        <v>100</v>
      </c>
      <c r="T19" s="1324" t="s">
        <v>65</v>
      </c>
      <c r="U19" s="1325">
        <f>H19</f>
        <v>100</v>
      </c>
      <c r="V19" s="1324" t="s">
        <v>65</v>
      </c>
      <c r="W19" s="1325">
        <f>J19</f>
        <v>100</v>
      </c>
      <c r="X19" s="1318"/>
      <c r="Y19" s="3539"/>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539"/>
      <c r="Q20" s="1323"/>
      <c r="R20" s="1324"/>
      <c r="S20" s="1325"/>
      <c r="T20" s="1324"/>
      <c r="U20" s="1325"/>
      <c r="V20" s="1324"/>
      <c r="W20" s="1325"/>
      <c r="X20" s="1318"/>
      <c r="Y20" s="3539"/>
      <c r="Z20" s="1326"/>
      <c r="AA20" s="1327">
        <v>1</v>
      </c>
      <c r="AB20" s="1327">
        <v>1</v>
      </c>
      <c r="AC20" s="1327">
        <v>1</v>
      </c>
    </row>
    <row r="21" spans="1:29" ht="94.5">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539"/>
      <c r="Q21" s="1323" t="str">
        <f>B21</f>
        <v>交通便捷度</v>
      </c>
      <c r="R21" s="1324" t="s">
        <v>65</v>
      </c>
      <c r="S21" s="1325">
        <f>F21</f>
        <v>100</v>
      </c>
      <c r="T21" s="1324" t="s">
        <v>65</v>
      </c>
      <c r="U21" s="1325">
        <f>H21</f>
        <v>100</v>
      </c>
      <c r="V21" s="1324" t="s">
        <v>65</v>
      </c>
      <c r="W21" s="1325">
        <f>J21</f>
        <v>100</v>
      </c>
      <c r="X21" s="1318"/>
      <c r="Y21" s="3539"/>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539"/>
      <c r="Q22" s="1323"/>
      <c r="R22" s="1324"/>
      <c r="S22" s="1325"/>
      <c r="T22" s="1324"/>
      <c r="U22" s="1325"/>
      <c r="V22" s="1324"/>
      <c r="W22" s="1325"/>
      <c r="X22" s="1318"/>
      <c r="Y22" s="3539"/>
      <c r="Z22" s="1326"/>
      <c r="AA22" s="1327">
        <v>1</v>
      </c>
      <c r="AB22" s="1327">
        <v>1</v>
      </c>
      <c r="AC22" s="1327">
        <v>1</v>
      </c>
    </row>
    <row r="23" spans="1:29" ht="27">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539"/>
      <c r="Q23" s="1323" t="str">
        <f t="shared" ref="Q23:Q37" si="8">B23</f>
        <v>区域土地利用方向</v>
      </c>
      <c r="R23" s="1324" t="s">
        <v>65</v>
      </c>
      <c r="S23" s="1325">
        <f>F23</f>
        <v>100</v>
      </c>
      <c r="T23" s="1324" t="s">
        <v>65</v>
      </c>
      <c r="U23" s="1325">
        <f>H23</f>
        <v>100</v>
      </c>
      <c r="V23" s="1324" t="s">
        <v>65</v>
      </c>
      <c r="W23" s="1325">
        <f>J23</f>
        <v>100</v>
      </c>
      <c r="X23" s="1318"/>
      <c r="Y23" s="3539"/>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539"/>
      <c r="Q24" s="1470"/>
      <c r="R24" s="1324"/>
      <c r="S24" s="1325"/>
      <c r="T24" s="1324"/>
      <c r="U24" s="1325"/>
      <c r="V24" s="1324"/>
      <c r="W24" s="1325"/>
      <c r="X24" s="1469"/>
      <c r="Y24" s="3539"/>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539"/>
      <c r="Q25" s="1323" t="str">
        <f t="shared" si="8"/>
        <v>自然及人文环境状况</v>
      </c>
      <c r="R25" s="1324" t="s">
        <v>65</v>
      </c>
      <c r="S25" s="1325">
        <f>F25</f>
        <v>100</v>
      </c>
      <c r="T25" s="1324" t="s">
        <v>65</v>
      </c>
      <c r="U25" s="1325">
        <f>H25</f>
        <v>100</v>
      </c>
      <c r="V25" s="1324" t="s">
        <v>65</v>
      </c>
      <c r="W25" s="1325">
        <f>J25</f>
        <v>100</v>
      </c>
      <c r="X25" s="1318"/>
      <c r="Y25" s="3539"/>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539"/>
      <c r="Q26" s="1323"/>
      <c r="R26" s="1324"/>
      <c r="S26" s="1325"/>
      <c r="T26" s="1324"/>
      <c r="U26" s="1325"/>
      <c r="V26" s="1324"/>
      <c r="W26" s="1325"/>
      <c r="X26" s="1318"/>
      <c r="Y26" s="3539"/>
      <c r="Z26" s="1326"/>
      <c r="AA26" s="1327">
        <v>1</v>
      </c>
      <c r="AB26" s="1327">
        <v>1</v>
      </c>
      <c r="AC26" s="1327">
        <v>1</v>
      </c>
    </row>
    <row r="27" spans="1:29" s="407" customFormat="1" ht="40.5">
      <c r="A27" s="992"/>
      <c r="B27" s="1412" t="s">
        <v>2681</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539"/>
      <c r="Q27" s="296" t="str">
        <f t="shared" si="8"/>
        <v>公共配套设施</v>
      </c>
      <c r="R27" s="1319" t="s">
        <v>65</v>
      </c>
      <c r="S27" s="1320">
        <f>F27</f>
        <v>100</v>
      </c>
      <c r="T27" s="1319" t="s">
        <v>65</v>
      </c>
      <c r="U27" s="1320">
        <f>H27</f>
        <v>100</v>
      </c>
      <c r="V27" s="1319" t="s">
        <v>65</v>
      </c>
      <c r="W27" s="1320">
        <f>J27</f>
        <v>100</v>
      </c>
      <c r="X27" s="1321"/>
      <c r="Y27" s="3539"/>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539"/>
      <c r="Q28" s="296"/>
      <c r="R28" s="1319"/>
      <c r="S28" s="1320"/>
      <c r="T28" s="1319"/>
      <c r="U28" s="1320"/>
      <c r="V28" s="1319"/>
      <c r="W28" s="1320"/>
      <c r="X28" s="1321"/>
      <c r="Y28" s="3539"/>
      <c r="Z28" s="344"/>
      <c r="AA28" s="1327">
        <v>1</v>
      </c>
      <c r="AB28" s="1327">
        <v>1</v>
      </c>
      <c r="AC28" s="1327">
        <v>1</v>
      </c>
    </row>
    <row r="29" spans="1:29" s="407" customFormat="1" ht="40.5">
      <c r="A29" s="992"/>
      <c r="B29" s="1412" t="s">
        <v>2682</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539"/>
      <c r="Q29" s="2746" t="str">
        <f t="shared" ref="Q29" si="9">B29</f>
        <v>基础设施水平</v>
      </c>
      <c r="R29" s="1319" t="s">
        <v>65</v>
      </c>
      <c r="S29" s="1320">
        <f>F29</f>
        <v>100</v>
      </c>
      <c r="T29" s="1319" t="s">
        <v>65</v>
      </c>
      <c r="U29" s="1320">
        <f>H29</f>
        <v>100</v>
      </c>
      <c r="V29" s="1319" t="s">
        <v>65</v>
      </c>
      <c r="W29" s="1320">
        <f>J29</f>
        <v>100</v>
      </c>
      <c r="X29" s="1321"/>
      <c r="Y29" s="3539"/>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539"/>
      <c r="Q30" s="2746"/>
      <c r="R30" s="1319"/>
      <c r="S30" s="1320"/>
      <c r="T30" s="1319"/>
      <c r="U30" s="1320"/>
      <c r="V30" s="1319"/>
      <c r="W30" s="1320"/>
      <c r="X30" s="1321"/>
      <c r="Y30" s="3539"/>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539"/>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539"/>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539"/>
      <c r="Q32" s="1323" t="str">
        <f t="shared" si="8"/>
        <v>毗邻道路的类型与等级</v>
      </c>
      <c r="R32" s="1324" t="s">
        <v>65</v>
      </c>
      <c r="S32" s="1325">
        <f t="shared" si="10"/>
        <v>100</v>
      </c>
      <c r="T32" s="1324" t="s">
        <v>65</v>
      </c>
      <c r="U32" s="1325">
        <f t="shared" si="11"/>
        <v>100</v>
      </c>
      <c r="V32" s="1324" t="s">
        <v>65</v>
      </c>
      <c r="W32" s="1325">
        <f t="shared" si="12"/>
        <v>100</v>
      </c>
      <c r="X32" s="1318"/>
      <c r="Y32" s="3539"/>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539"/>
      <c r="Q33" s="1323"/>
      <c r="R33" s="1324"/>
      <c r="S33" s="1325"/>
      <c r="T33" s="1324"/>
      <c r="U33" s="1325"/>
      <c r="V33" s="1324"/>
      <c r="W33" s="1325"/>
      <c r="X33" s="1318"/>
      <c r="Y33" s="3539"/>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539"/>
      <c r="Q34" s="1323" t="str">
        <f t="shared" si="8"/>
        <v>土地级别</v>
      </c>
      <c r="R34" s="1324" t="s">
        <v>65</v>
      </c>
      <c r="S34" s="1325">
        <f t="shared" si="10"/>
        <v>100</v>
      </c>
      <c r="T34" s="1324" t="s">
        <v>65</v>
      </c>
      <c r="U34" s="1325">
        <f t="shared" si="11"/>
        <v>100</v>
      </c>
      <c r="V34" s="1324" t="s">
        <v>65</v>
      </c>
      <c r="W34" s="1325">
        <f t="shared" si="12"/>
        <v>100</v>
      </c>
      <c r="X34" s="1318"/>
      <c r="Y34" s="3539"/>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539"/>
      <c r="Q35" s="1323">
        <f t="shared" si="8"/>
        <v>111</v>
      </c>
      <c r="R35" s="1324" t="s">
        <v>65</v>
      </c>
      <c r="S35" s="1325">
        <f t="shared" si="10"/>
        <v>100</v>
      </c>
      <c r="T35" s="1324" t="s">
        <v>65</v>
      </c>
      <c r="U35" s="1325">
        <f t="shared" si="11"/>
        <v>100</v>
      </c>
      <c r="V35" s="1324" t="s">
        <v>65</v>
      </c>
      <c r="W35" s="1325">
        <f t="shared" si="12"/>
        <v>100</v>
      </c>
      <c r="X35" s="1318"/>
      <c r="Y35" s="3539"/>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540" t="s">
        <v>410</v>
      </c>
      <c r="Q36" s="1323">
        <f t="shared" si="8"/>
        <v>111</v>
      </c>
      <c r="R36" s="1324" t="s">
        <v>65</v>
      </c>
      <c r="S36" s="1325">
        <f t="shared" si="10"/>
        <v>100</v>
      </c>
      <c r="T36" s="1324" t="s">
        <v>65</v>
      </c>
      <c r="U36" s="1325">
        <f t="shared" si="11"/>
        <v>100</v>
      </c>
      <c r="V36" s="1324" t="s">
        <v>65</v>
      </c>
      <c r="W36" s="1325">
        <f t="shared" si="12"/>
        <v>100</v>
      </c>
      <c r="X36" s="1318"/>
      <c r="Y36" s="3541"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541"/>
      <c r="Q37" s="1323">
        <f t="shared" si="8"/>
        <v>111</v>
      </c>
      <c r="R37" s="1329" t="s">
        <v>65</v>
      </c>
      <c r="S37" s="1330">
        <f t="shared" si="10"/>
        <v>100</v>
      </c>
      <c r="T37" s="1329" t="s">
        <v>65</v>
      </c>
      <c r="U37" s="1330">
        <f t="shared" si="11"/>
        <v>100</v>
      </c>
      <c r="V37" s="1329" t="s">
        <v>65</v>
      </c>
      <c r="W37" s="1330">
        <f t="shared" si="12"/>
        <v>100</v>
      </c>
      <c r="X37" s="1331"/>
      <c r="Y37" s="3541"/>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541"/>
      <c r="Q38" s="1323" t="str">
        <f>B38</f>
        <v>宗地面积</v>
      </c>
      <c r="R38" s="1324" t="s">
        <v>65</v>
      </c>
      <c r="S38" s="1325" t="e">
        <f t="shared" si="10"/>
        <v>#N/A</v>
      </c>
      <c r="T38" s="1324" t="s">
        <v>65</v>
      </c>
      <c r="U38" s="1325" t="e">
        <f t="shared" si="11"/>
        <v>#N/A</v>
      </c>
      <c r="V38" s="1324" t="s">
        <v>65</v>
      </c>
      <c r="W38" s="1325" t="e">
        <f t="shared" si="12"/>
        <v>#N/A</v>
      </c>
      <c r="X38" s="1318"/>
      <c r="Y38" s="3541"/>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541"/>
      <c r="Q39" s="1323" t="str">
        <f t="shared" ref="Q39:Q45" si="14">B39</f>
        <v>宗地形状</v>
      </c>
      <c r="R39" s="1324" t="s">
        <v>65</v>
      </c>
      <c r="S39" s="1325">
        <f t="shared" si="10"/>
        <v>100</v>
      </c>
      <c r="T39" s="1324" t="s">
        <v>65</v>
      </c>
      <c r="U39" s="1325">
        <f t="shared" si="11"/>
        <v>100</v>
      </c>
      <c r="V39" s="1324" t="s">
        <v>65</v>
      </c>
      <c r="W39" s="1325">
        <f t="shared" si="12"/>
        <v>100</v>
      </c>
      <c r="X39" s="1318"/>
      <c r="Y39" s="3541"/>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541"/>
      <c r="Q40" s="1323" t="str">
        <f t="shared" si="14"/>
        <v>临街宽度及深度</v>
      </c>
      <c r="R40" s="1324" t="s">
        <v>65</v>
      </c>
      <c r="S40" s="1325">
        <f t="shared" si="10"/>
        <v>100</v>
      </c>
      <c r="T40" s="1324" t="s">
        <v>65</v>
      </c>
      <c r="U40" s="1325">
        <f t="shared" si="11"/>
        <v>100</v>
      </c>
      <c r="V40" s="1324" t="s">
        <v>65</v>
      </c>
      <c r="W40" s="1325">
        <f t="shared" si="12"/>
        <v>100</v>
      </c>
      <c r="X40" s="1318"/>
      <c r="Y40" s="3541"/>
      <c r="Z40" s="1326" t="str">
        <f t="shared" si="13"/>
        <v>临街宽度及深度</v>
      </c>
      <c r="AA40" s="1327">
        <f t="shared" si="3"/>
        <v>1</v>
      </c>
      <c r="AB40" s="1327">
        <f t="shared" si="4"/>
        <v>1</v>
      </c>
      <c r="AC40" s="1327">
        <f t="shared" si="5"/>
        <v>1</v>
      </c>
    </row>
    <row r="41" spans="1:29" s="407" customFormat="1" ht="15">
      <c r="A41" s="816"/>
      <c r="B41" s="2612" t="s">
        <v>2513</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541"/>
      <c r="Q41" s="1323" t="str">
        <f t="shared" si="14"/>
        <v>宗地开发程度</v>
      </c>
      <c r="R41" s="1319" t="s">
        <v>65</v>
      </c>
      <c r="S41" s="1320">
        <f t="shared" si="10"/>
        <v>100</v>
      </c>
      <c r="T41" s="1319" t="s">
        <v>65</v>
      </c>
      <c r="U41" s="1320">
        <f t="shared" si="11"/>
        <v>100</v>
      </c>
      <c r="V41" s="1319" t="s">
        <v>65</v>
      </c>
      <c r="W41" s="1320">
        <f t="shared" si="12"/>
        <v>100</v>
      </c>
      <c r="X41" s="1321"/>
      <c r="Y41" s="3541"/>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541" t="s">
        <v>410</v>
      </c>
      <c r="Q42" s="1323" t="str">
        <f t="shared" si="14"/>
        <v>工程地质条件</v>
      </c>
      <c r="R42" s="1324" t="s">
        <v>65</v>
      </c>
      <c r="S42" s="1325">
        <f t="shared" si="10"/>
        <v>100</v>
      </c>
      <c r="T42" s="1324" t="s">
        <v>65</v>
      </c>
      <c r="U42" s="1325">
        <f t="shared" si="11"/>
        <v>100</v>
      </c>
      <c r="V42" s="1324" t="s">
        <v>65</v>
      </c>
      <c r="W42" s="1325">
        <f t="shared" si="12"/>
        <v>100</v>
      </c>
      <c r="X42" s="1318"/>
      <c r="Y42" s="3541"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541"/>
      <c r="Q43" s="1323">
        <f t="shared" si="14"/>
        <v>111</v>
      </c>
      <c r="R43" s="1324" t="s">
        <v>65</v>
      </c>
      <c r="S43" s="1325">
        <f t="shared" si="10"/>
        <v>100</v>
      </c>
      <c r="T43" s="1324" t="s">
        <v>65</v>
      </c>
      <c r="U43" s="1325">
        <f t="shared" si="11"/>
        <v>100</v>
      </c>
      <c r="V43" s="1324" t="s">
        <v>65</v>
      </c>
      <c r="W43" s="1325">
        <f t="shared" si="12"/>
        <v>100</v>
      </c>
      <c r="X43" s="1318"/>
      <c r="Y43" s="3541"/>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541"/>
      <c r="Q44" s="1323">
        <f t="shared" si="14"/>
        <v>111</v>
      </c>
      <c r="R44" s="1324" t="s">
        <v>65</v>
      </c>
      <c r="S44" s="1325">
        <f t="shared" si="10"/>
        <v>100</v>
      </c>
      <c r="T44" s="1324" t="s">
        <v>65</v>
      </c>
      <c r="U44" s="1325">
        <f t="shared" si="11"/>
        <v>100</v>
      </c>
      <c r="V44" s="1324" t="s">
        <v>65</v>
      </c>
      <c r="W44" s="1325">
        <f t="shared" si="12"/>
        <v>100</v>
      </c>
      <c r="X44" s="1318"/>
      <c r="Y44" s="3541"/>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541"/>
      <c r="Q45" s="1323">
        <f t="shared" si="14"/>
        <v>111</v>
      </c>
      <c r="R45" s="1329" t="s">
        <v>65</v>
      </c>
      <c r="S45" s="1330">
        <f t="shared" si="10"/>
        <v>100</v>
      </c>
      <c r="T45" s="1329" t="s">
        <v>65</v>
      </c>
      <c r="U45" s="1330">
        <f t="shared" si="11"/>
        <v>100</v>
      </c>
      <c r="V45" s="1329" t="s">
        <v>65</v>
      </c>
      <c r="W45" s="1330">
        <f t="shared" si="12"/>
        <v>100</v>
      </c>
      <c r="X45" s="1331"/>
      <c r="Y45" s="3541"/>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535" t="str">
        <f>A46</f>
        <v>成交单价</v>
      </c>
      <c r="Q46" s="3535"/>
      <c r="R46" s="3537">
        <f>E46</f>
        <v>0</v>
      </c>
      <c r="S46" s="3537"/>
      <c r="T46" s="3537">
        <f>G46</f>
        <v>0</v>
      </c>
      <c r="U46" s="3537"/>
      <c r="V46" s="3537">
        <f>I46</f>
        <v>0</v>
      </c>
      <c r="W46" s="3537"/>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535" t="str">
        <f>A47</f>
        <v>比较价值（元/平方米）</v>
      </c>
      <c r="Q47" s="3535"/>
      <c r="R47" s="3536" t="e">
        <f>ROUND(PRODUCT(R46,AA7:AA45),0)</f>
        <v>#DIV/0!</v>
      </c>
      <c r="S47" s="3536"/>
      <c r="T47" s="3536" t="e">
        <f>ROUND(PRODUCT(T46,AB7:AB45),0)</f>
        <v>#DIV/0!</v>
      </c>
      <c r="U47" s="3536"/>
      <c r="V47" s="3536" t="e">
        <f>ROUND(PRODUCT(V46,AC7:AC45),0)</f>
        <v>#DIV/0!</v>
      </c>
      <c r="W47" s="3536"/>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532" t="str">
        <f>A48</f>
        <v>估价对象XX用房的比较价值（楼面单价，元/平方米）</v>
      </c>
      <c r="Q48" s="3533"/>
      <c r="R48" s="3534" t="e">
        <f>ROUND(AVERAGE(R47:V47),0)</f>
        <v>#DIV/0!</v>
      </c>
      <c r="S48" s="3534"/>
      <c r="T48" s="3534"/>
      <c r="U48" s="3534"/>
      <c r="V48" s="3534"/>
      <c r="W48" s="3534"/>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2336</v>
      </c>
      <c r="E55" s="1095" t="s">
        <v>494</v>
      </c>
      <c r="F55" s="2192" t="s">
        <v>495</v>
      </c>
      <c r="G55" s="3559" t="s">
        <v>2329</v>
      </c>
      <c r="H55" s="3560"/>
      <c r="I55" s="2193" t="s">
        <v>1894</v>
      </c>
      <c r="J55" s="2197">
        <f>项目基本情况!F35</f>
        <v>0</v>
      </c>
      <c r="K55" s="2378" t="s">
        <v>1896</v>
      </c>
      <c r="L55" s="2191"/>
      <c r="M55" s="2364"/>
      <c r="N55" s="2364"/>
      <c r="O55" s="2364"/>
    </row>
    <row r="56" spans="1:15" s="1101" customFormat="1">
      <c r="A56" s="1097" t="s">
        <v>496</v>
      </c>
      <c r="B56" s="1098" t="e">
        <f>C48</f>
        <v>#DIV/0!</v>
      </c>
      <c r="C56" s="1099">
        <v>1</v>
      </c>
      <c r="D56" s="2396">
        <v>1</v>
      </c>
      <c r="E56" s="1099">
        <f>'数据-汇总表'!E8+'数据-汇总表'!E9</f>
        <v>20083.5</v>
      </c>
      <c r="F56" s="2188" t="e">
        <f t="shared" ref="F56:F65" si="15">ROUND(B56*E56/10000,0)</f>
        <v>#DIV/0!</v>
      </c>
      <c r="G56" s="3561"/>
      <c r="H56" s="3562"/>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563" t="s">
        <v>2330</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563"/>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563"/>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563"/>
      <c r="H60" s="2189">
        <f>项目基本情况!B37</f>
        <v>0</v>
      </c>
      <c r="I60" s="2194">
        <f>SUMIF(修正!A45:A56,H60,修正!E45:E56)</f>
        <v>0</v>
      </c>
      <c r="J60" s="2199"/>
      <c r="K60" s="2365"/>
      <c r="L60" s="1775"/>
      <c r="M60" s="1775"/>
      <c r="N60" s="1775"/>
      <c r="O60" s="1775"/>
    </row>
    <row r="61" spans="1:15" s="1101" customFormat="1">
      <c r="A61" s="2517" t="s">
        <v>2412</v>
      </c>
      <c r="B61" s="594" t="e">
        <f t="shared" si="17"/>
        <v>#DIV/0!</v>
      </c>
      <c r="C61" s="532">
        <f t="shared" si="16"/>
        <v>0</v>
      </c>
      <c r="D61" s="2397">
        <v>0.25</v>
      </c>
      <c r="E61" s="593">
        <f>'数据-汇总表'!E11</f>
        <v>0</v>
      </c>
      <c r="F61" s="2188" t="e">
        <f t="shared" si="15"/>
        <v>#DIV/0!</v>
      </c>
      <c r="G61" s="2201" t="s">
        <v>2331</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2332</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2331</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2337</v>
      </c>
      <c r="E66" s="1105">
        <f>IF(B46="楼面地价",SUM(E56:E65),'数据-汇总表'!D3)</f>
        <v>20083.5</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2805</v>
      </c>
      <c r="B70" s="2709"/>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27.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2681</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2668</v>
      </c>
      <c r="C102" s="213" t="s">
        <v>2669</v>
      </c>
      <c r="D102" s="213" t="s">
        <v>2670</v>
      </c>
      <c r="E102" s="213" t="s">
        <v>2671</v>
      </c>
      <c r="F102" s="213" t="s">
        <v>2672</v>
      </c>
      <c r="G102" s="213" t="s">
        <v>2673</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873"/>
      <c r="D116" s="873"/>
      <c r="E116" s="873"/>
      <c r="F116" s="873"/>
      <c r="G116" s="873"/>
      <c r="H116" s="873"/>
      <c r="I116" s="873"/>
      <c r="J116" s="873"/>
      <c r="K116" s="874"/>
      <c r="L116" s="875"/>
      <c r="M116" s="876"/>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3"/>
      <c r="O122" s="2373"/>
      <c r="P122" s="334"/>
      <c r="Q122" s="847"/>
    </row>
    <row r="123" spans="1:17" s="814" customFormat="1" ht="15" thickTop="1">
      <c r="A123" s="936"/>
      <c r="B123" s="1054" t="s">
        <v>2512</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1801</v>
      </c>
      <c r="B1" s="1474"/>
      <c r="C1" s="86" t="s">
        <v>2516</v>
      </c>
      <c r="D1" s="1740">
        <f>SUM(D29:D30,D33:D39)</f>
        <v>0</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77" t="s">
        <v>2905</v>
      </c>
      <c r="S1" s="3077" t="s">
        <v>2906</v>
      </c>
      <c r="T1" s="3077" t="s">
        <v>2907</v>
      </c>
      <c r="U1" s="3077" t="s">
        <v>2908</v>
      </c>
      <c r="V1" s="3077" t="s">
        <v>2909</v>
      </c>
      <c r="W1" s="3078"/>
      <c r="X1" s="3078"/>
      <c r="Y1" s="3078"/>
      <c r="Z1" s="3078"/>
      <c r="AA1" s="3078"/>
      <c r="AB1" s="3078"/>
      <c r="AC1" s="3079"/>
      <c r="AD1" s="3080"/>
      <c r="AE1" s="3080"/>
      <c r="AF1" s="3080"/>
      <c r="AG1" s="3080"/>
      <c r="AH1" s="3080"/>
      <c r="AI1" s="3080"/>
      <c r="AJ1" s="3081"/>
    </row>
    <row r="2" spans="1:36" ht="15.75">
      <c r="A2" s="86" t="s">
        <v>1802</v>
      </c>
      <c r="B2" s="580" t="e">
        <f>C26</f>
        <v>#DIV/0!</v>
      </c>
      <c r="C2" s="1472" t="s">
        <v>1143</v>
      </c>
      <c r="D2" s="1629" t="s">
        <v>1803</v>
      </c>
      <c r="E2" s="1784"/>
      <c r="F2" s="1629" t="s">
        <v>1804</v>
      </c>
      <c r="G2" s="1606">
        <f>IF(E2="商业",项目基本情况!B37,IF(E2="办公",项目基本情况!C37,IF(E2="住宅",项目基本情况!D37,项目基本情况!E37)))</f>
        <v>0</v>
      </c>
      <c r="H2" s="1629" t="s">
        <v>1805</v>
      </c>
      <c r="I2" s="1606">
        <f>IF(E2="商业",项目基本情况!B38,IF(E2="办公",项目基本情况!C38,IF(E2="住宅",项目基本情况!D38,项目基本情况!E38)))</f>
        <v>0</v>
      </c>
      <c r="J2" s="1630"/>
      <c r="K2" s="2384"/>
      <c r="L2" s="1887" t="s">
        <v>1290</v>
      </c>
      <c r="M2" s="2140">
        <f>SUMPRODUCT((区片价!B10:B28=I2)*(区片价!C3:F3=E2)*(区片价!C10:F28))</f>
        <v>0</v>
      </c>
      <c r="N2" s="2142">
        <f>SUMPRODUCT((因素修正幅度!B10:B28=I2)*(因素修正幅度!C3:F3=E2)*(因素修正幅度!C10:F28))</f>
        <v>0</v>
      </c>
      <c r="O2" s="2384"/>
      <c r="P2" s="2384"/>
      <c r="Q2" s="2384"/>
      <c r="R2" s="3082">
        <v>1</v>
      </c>
      <c r="S2" s="3082">
        <f>ROUND(IF(G3&gt;1,IF(R2&lt;7,SUMPRODUCT((B93:B98=R2)*(C92:N92=G2)*(C93:N98)),SUMIF(C92:N92,G2,C100:N100)),IF(R2&lt;7,SUMPRODUCT((B102:B107=R2)*(C92:N92=G2)*(C102:N107)),SUMIF(C92:N92,G2,C109:N109))),4)</f>
        <v>0</v>
      </c>
      <c r="T2" s="3082" t="e">
        <f>ROUND($C$5*$C$18*$C$19*$C$20*S2*$C$24,0)</f>
        <v>#DIV/0!</v>
      </c>
      <c r="U2" s="3083"/>
      <c r="V2" s="3082" t="e">
        <f>ROUND(T2*U2/10000,0)</f>
        <v>#DIV/0!</v>
      </c>
      <c r="W2" s="3078"/>
      <c r="X2" s="3078"/>
      <c r="Y2" s="3078"/>
      <c r="Z2" s="3078"/>
      <c r="AA2" s="3078"/>
      <c r="AB2" s="3078"/>
      <c r="AC2" s="3079"/>
      <c r="AD2" s="3080"/>
      <c r="AE2" s="3080"/>
      <c r="AF2" s="3080"/>
      <c r="AG2" s="3080"/>
      <c r="AH2" s="3080"/>
      <c r="AI2" s="3080"/>
      <c r="AJ2" s="3081"/>
    </row>
    <row r="3" spans="1:36" ht="15.75">
      <c r="A3" s="87" t="s">
        <v>1806</v>
      </c>
      <c r="B3" s="580" t="e">
        <f>ROUND(B2*10000/D1,0)</f>
        <v>#DIV/0!</v>
      </c>
      <c r="C3" s="1472" t="s">
        <v>1807</v>
      </c>
      <c r="D3" s="1629" t="s">
        <v>1146</v>
      </c>
      <c r="E3" s="1785"/>
      <c r="F3" s="1786" t="s">
        <v>3039</v>
      </c>
      <c r="G3" s="1631">
        <f>IF(F3="宗地容积率",'数据-汇总表'!I4,IF(F3="估价对象容积率",'数据-汇总表'!I6,'数据-汇总表'!I7))</f>
        <v>0.38</v>
      </c>
      <c r="H3" s="1632" t="s">
        <v>1147</v>
      </c>
      <c r="I3" s="1787"/>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2">
        <v>2</v>
      </c>
      <c r="S3" s="3082">
        <f>ROUND(IF(G3&gt;1,IF(R3&lt;7,SUMPRODUCT((B93:B98=R3)*(C92:N92=G2)*(C93:N98)),SUMIF(C92:N92,G2,C100:N100)),IF(R3&lt;7,SUMPRODUCT((B102:B107=R3)*(C92:N92=G2)*(C102:N107)),SUMIF(C92:N92,G2,C109:N109))),4)</f>
        <v>0</v>
      </c>
      <c r="T3" s="3082" t="e">
        <f t="shared" ref="T3:T16" si="0">ROUND($C$5*$C$18*$C$19*$C$20*S3*$C$24,0)</f>
        <v>#DIV/0!</v>
      </c>
      <c r="U3" s="3083"/>
      <c r="V3" s="3082" t="e">
        <f t="shared" ref="V3:V16" si="1">ROUND(T3*U3/10000,0)</f>
        <v>#DIV/0!</v>
      </c>
      <c r="W3" s="3078"/>
      <c r="X3" s="3078"/>
      <c r="Y3" s="3078"/>
      <c r="Z3" s="3078"/>
      <c r="AA3" s="3078"/>
      <c r="AB3" s="3078"/>
      <c r="AC3" s="3079"/>
      <c r="AD3" s="3080"/>
      <c r="AE3" s="3080"/>
      <c r="AF3" s="3080"/>
      <c r="AG3" s="3080"/>
      <c r="AH3" s="3080"/>
      <c r="AI3" s="3080"/>
      <c r="AJ3" s="3081"/>
    </row>
    <row r="4" spans="1:36" ht="15">
      <c r="A4" s="3685"/>
      <c r="B4" s="3686"/>
      <c r="C4" s="3686"/>
      <c r="D4" s="3687"/>
      <c r="E4" s="3687"/>
      <c r="F4" s="3687"/>
      <c r="G4" s="3687"/>
      <c r="H4" s="3687"/>
      <c r="I4" s="3687"/>
      <c r="J4" s="3688"/>
      <c r="K4" s="2384"/>
      <c r="L4" s="1887" t="s">
        <v>1144</v>
      </c>
      <c r="M4" s="2140">
        <f>SUMPRODUCT((区片价!B49:B75=I2)*(区片价!C3:F3=E2)*(区片价!C49:F75))</f>
        <v>0</v>
      </c>
      <c r="N4" s="2142">
        <f>SUMPRODUCT((因素修正幅度!B49:B75=I2)*(因素修正幅度!C3:F3=E2)*(因素修正幅度!C49:F75))</f>
        <v>0</v>
      </c>
      <c r="O4" s="2384"/>
      <c r="P4" s="2384"/>
      <c r="Q4" s="2384"/>
      <c r="R4" s="3082">
        <v>3</v>
      </c>
      <c r="S4" s="3082">
        <f>ROUND(IF(G3&gt;1,IF(R4&lt;7,SUMPRODUCT((B93:B98=R4)*(C92:N92=G2)*(C93:N98)),SUMIF(C92:N92,G2,C100:N100)),IF(R4&lt;7,SUMPRODUCT((B102:B107=R4)*(C92:N92=G2)*(C102:N107)),SUMIF(C92:N92,G2,C109:N109))),4)</f>
        <v>0</v>
      </c>
      <c r="T4" s="3082" t="e">
        <f t="shared" si="0"/>
        <v>#DIV/0!</v>
      </c>
      <c r="U4" s="3083"/>
      <c r="V4" s="3082" t="e">
        <f t="shared" si="1"/>
        <v>#DIV/0!</v>
      </c>
      <c r="W4" s="3078"/>
      <c r="X4" s="3078"/>
      <c r="Y4" s="3078"/>
      <c r="Z4" s="3078"/>
      <c r="AA4" s="3078"/>
      <c r="AB4" s="3078"/>
      <c r="AC4" s="3079"/>
      <c r="AD4" s="3080"/>
      <c r="AE4" s="3080"/>
      <c r="AF4" s="3080"/>
      <c r="AG4" s="3080"/>
      <c r="AH4" s="3080"/>
      <c r="AI4" s="3080"/>
      <c r="AJ4" s="3081"/>
    </row>
    <row r="5" spans="1:36" s="1640" customFormat="1" ht="15.75" thickBot="1">
      <c r="A5" s="1880" t="s">
        <v>1944</v>
      </c>
      <c r="B5" s="1633" t="s">
        <v>1808</v>
      </c>
      <c r="C5" s="1634" t="e">
        <f>ROUND(IF(E2="商业",IF(F16="增加",C6*C7+C16,C6*C7-C16),IF(E2="住宅",IF(F16="增加",C6*C12+C16,C6*C12-C16),IF(F16="增加",C6+C16,C6-C16))),0)</f>
        <v>#DIV/0!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2">
        <v>4</v>
      </c>
      <c r="S5" s="3082">
        <f>ROUND(IF(G3&gt;1,IF(R5&lt;7,SUMPRODUCT((B93:B98=R5)*(C92:N92=G2)*(C93:N98)),SUMIF(C92:N92,G2,C100:N100)),IF(R5&lt;7,SUMPRODUCT((B102:B107=R5)*(C92:N92=G2)*(C102:N107)),SUMIF(C92:N92,G2,C109:N109))),4)</f>
        <v>0</v>
      </c>
      <c r="T5" s="3082" t="e">
        <f t="shared" si="0"/>
        <v>#DIV/0!</v>
      </c>
      <c r="U5" s="3083"/>
      <c r="V5" s="3082" t="e">
        <f t="shared" si="1"/>
        <v>#DIV/0!</v>
      </c>
      <c r="W5" s="3078"/>
      <c r="X5" s="3078"/>
      <c r="Y5" s="3078"/>
      <c r="Z5" s="3078"/>
      <c r="AA5" s="3078"/>
      <c r="AB5" s="3078"/>
      <c r="AC5" s="3084"/>
      <c r="AD5" s="3085"/>
      <c r="AE5" s="3085"/>
      <c r="AF5" s="3085"/>
      <c r="AG5" s="3085"/>
      <c r="AH5" s="3085"/>
      <c r="AI5" s="3085"/>
      <c r="AJ5" s="3086"/>
    </row>
    <row r="6" spans="1:36" ht="15.75" thickBot="1">
      <c r="A6" s="1884" t="s">
        <v>1951</v>
      </c>
      <c r="B6" s="1641" t="s">
        <v>1808</v>
      </c>
      <c r="C6" s="1642">
        <f>SUMIF(L1:L12,G2,M1:M12)</f>
        <v>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2">
        <v>5</v>
      </c>
      <c r="S6" s="3082">
        <f>ROUND(IF(G3&gt;1,IF(R6&lt;7,SUMPRODUCT((B93:B98=R6)*(C92:N92=G2)*(C93:N98)),SUMIF(C92:N92,G2,C100:N100)),IF(R6&lt;7,SUMPRODUCT((B102:B107=R6)*(C92:N92=G2)*(C102:N107)),SUMIF(C92:N92,G2,C109:N109))),4)</f>
        <v>0</v>
      </c>
      <c r="T6" s="3082" t="e">
        <f t="shared" si="0"/>
        <v>#DIV/0!</v>
      </c>
      <c r="U6" s="3083"/>
      <c r="V6" s="3082" t="e">
        <f t="shared" si="1"/>
        <v>#DIV/0!</v>
      </c>
      <c r="W6" s="3078"/>
      <c r="X6" s="3078"/>
      <c r="Y6" s="3078"/>
      <c r="Z6" s="3078"/>
      <c r="AA6" s="3078"/>
      <c r="AB6" s="3078"/>
      <c r="AC6" s="3084"/>
      <c r="AD6" s="3085"/>
      <c r="AE6" s="3085"/>
      <c r="AF6" s="3085"/>
      <c r="AG6" s="3085"/>
      <c r="AH6" s="3085"/>
      <c r="AI6" s="3085"/>
      <c r="AJ6" s="3086"/>
    </row>
    <row r="7" spans="1:36" ht="24">
      <c r="A7" s="3672" t="str">
        <f>IF(E2="商业",IF(C8="不临58条商业街","",2),"")</f>
        <v/>
      </c>
      <c r="B7" s="1647" t="s">
        <v>1810</v>
      </c>
      <c r="C7" s="1648" t="e">
        <f>IF(C8="不临58条商业街",1,ROUND(1+(1.6*E8+1.2*E9+0.8*E10+0.4*E11)*C9,4))</f>
        <v>#DIV/0!</v>
      </c>
      <c r="D7" s="1649" t="s">
        <v>1811</v>
      </c>
      <c r="E7" s="1788"/>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2">
        <v>6</v>
      </c>
      <c r="S7" s="3082">
        <f>ROUND(IF(G3&gt;1,IF(R7&lt;7,SUMPRODUCT((B93:B98=R7)*(C92:N92=G2)*(C93:N98)),SUMIF(C92:N92,G2,C100:N100)),IF(R7&lt;7,SUMPRODUCT((B102:B107=R7)*(C92:N92=G2)*(C102:N107)),SUMIF(C92:N92,G2,C109:N109))),4)</f>
        <v>0</v>
      </c>
      <c r="T7" s="3082" t="e">
        <f t="shared" si="0"/>
        <v>#DIV/0!</v>
      </c>
      <c r="U7" s="3083"/>
      <c r="V7" s="3082" t="e">
        <f t="shared" si="1"/>
        <v>#DIV/0!</v>
      </c>
      <c r="W7" s="3087" t="s">
        <v>2910</v>
      </c>
      <c r="X7" s="3088">
        <f>G2</f>
        <v>0</v>
      </c>
      <c r="Y7" s="3088" t="s">
        <v>2911</v>
      </c>
      <c r="Z7" s="3089">
        <f>G3</f>
        <v>0.38</v>
      </c>
      <c r="AA7" s="3090"/>
      <c r="AB7" s="3090"/>
      <c r="AC7" s="3091"/>
      <c r="AD7" s="3092"/>
      <c r="AE7" s="3092"/>
      <c r="AF7" s="3092"/>
      <c r="AG7" s="3092"/>
      <c r="AH7" s="3092"/>
      <c r="AI7" s="3092"/>
      <c r="AJ7" s="3093"/>
    </row>
    <row r="8" spans="1:36" ht="15">
      <c r="A8" s="3673"/>
      <c r="B8" s="1632" t="s">
        <v>1812</v>
      </c>
      <c r="C8" s="1789"/>
      <c r="D8" s="1653" t="s">
        <v>1149</v>
      </c>
      <c r="E8" s="1654" t="e">
        <f>ROUND(C11/E7,4)</f>
        <v>#DIV/0!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2">
        <v>7</v>
      </c>
      <c r="S8" s="3083"/>
      <c r="T8" s="3082" t="e">
        <f t="shared" si="0"/>
        <v>#DIV/0!</v>
      </c>
      <c r="U8" s="3083"/>
      <c r="V8" s="3082" t="e">
        <f t="shared" si="1"/>
        <v>#DIV/0!</v>
      </c>
      <c r="W8" s="3682" t="s">
        <v>2912</v>
      </c>
      <c r="X8" s="3683"/>
      <c r="Y8" s="3094" t="s">
        <v>165</v>
      </c>
      <c r="Z8" s="3094" t="s">
        <v>166</v>
      </c>
      <c r="AA8" s="3094" t="s">
        <v>161</v>
      </c>
      <c r="AB8" s="3094" t="s">
        <v>162</v>
      </c>
      <c r="AC8" s="3094" t="s">
        <v>163</v>
      </c>
      <c r="AD8" s="3094" t="s">
        <v>164</v>
      </c>
      <c r="AE8" s="3094" t="s">
        <v>1184</v>
      </c>
      <c r="AF8" s="3094" t="s">
        <v>1185</v>
      </c>
      <c r="AG8" s="3094" t="s">
        <v>1186</v>
      </c>
      <c r="AH8" s="3094" t="s">
        <v>1187</v>
      </c>
      <c r="AI8" s="3094" t="s">
        <v>1188</v>
      </c>
      <c r="AJ8" s="3094" t="s">
        <v>1189</v>
      </c>
    </row>
    <row r="9" spans="1:36" ht="15">
      <c r="A9" s="3673"/>
      <c r="B9" s="1632" t="s">
        <v>1814</v>
      </c>
      <c r="C9" s="1658">
        <f>SUMIF(修正!C59:C119,C8,修正!E59:E119)</f>
        <v>0</v>
      </c>
      <c r="D9" s="532" t="s">
        <v>1150</v>
      </c>
      <c r="E9" s="532" t="e">
        <f>ROUND(C11/E7,4)</f>
        <v>#DIV/0!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2">
        <v>8</v>
      </c>
      <c r="S9" s="3083"/>
      <c r="T9" s="3082" t="e">
        <f t="shared" si="0"/>
        <v>#DIV/0!</v>
      </c>
      <c r="U9" s="3083"/>
      <c r="V9" s="3082" t="e">
        <f t="shared" si="1"/>
        <v>#DIV/0!</v>
      </c>
      <c r="W9" s="3684" t="s">
        <v>2913</v>
      </c>
      <c r="X9" s="3095" t="s">
        <v>1771</v>
      </c>
      <c r="Y9" s="3320"/>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73"/>
      <c r="B10" s="1632" t="s">
        <v>1816</v>
      </c>
      <c r="C10" s="532">
        <f>SUMIF(修正!C59:C119,C8,修正!F59:F119)</f>
        <v>0</v>
      </c>
      <c r="D10" s="532" t="s">
        <v>1151</v>
      </c>
      <c r="E10" s="532" t="e">
        <f>ROUND(C11/E7,4)</f>
        <v>#DIV/0!</v>
      </c>
      <c r="F10" s="1655" t="s">
        <v>1817</v>
      </c>
      <c r="G10" s="1656"/>
      <c r="H10" s="1656"/>
      <c r="I10" s="1656"/>
      <c r="J10" s="1657"/>
      <c r="K10" s="2384"/>
      <c r="L10" s="1887" t="s">
        <v>1555</v>
      </c>
      <c r="M10" s="2140">
        <f>SUMPRODUCT((区片价!B290:B316=I2)*(区片价!C3:F3=E2)*(区片价!C290:F316))</f>
        <v>0</v>
      </c>
      <c r="N10" s="2142">
        <f>SUMPRODUCT((因素修正幅度!B290:B316=I2)*(因素修正幅度!C3:F3=E2)*(因素修正幅度!C290:F316))</f>
        <v>0</v>
      </c>
      <c r="O10" s="2384"/>
      <c r="P10" s="2384"/>
      <c r="Q10" s="2384"/>
      <c r="R10" s="3082">
        <v>9</v>
      </c>
      <c r="S10" s="3083"/>
      <c r="T10" s="3082" t="e">
        <f t="shared" si="0"/>
        <v>#DIV/0!</v>
      </c>
      <c r="U10" s="3083"/>
      <c r="V10" s="3082" t="e">
        <f t="shared" si="1"/>
        <v>#DIV/0!</v>
      </c>
      <c r="W10" s="3684"/>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73"/>
      <c r="B11" s="1659" t="s">
        <v>1818</v>
      </c>
      <c r="C11" s="1660">
        <f>C10/4</f>
        <v>0</v>
      </c>
      <c r="D11" s="1660" t="s">
        <v>1152</v>
      </c>
      <c r="E11" s="1660" t="e">
        <f>ROUND(C11/E7,4)</f>
        <v>#DIV/0!</v>
      </c>
      <c r="F11" s="1661" t="s">
        <v>1819</v>
      </c>
      <c r="G11" s="1662"/>
      <c r="H11" s="1662"/>
      <c r="I11" s="1662"/>
      <c r="J11" s="1663"/>
      <c r="K11" s="2384"/>
      <c r="L11" s="1887" t="s">
        <v>1954</v>
      </c>
      <c r="M11" s="2140">
        <f>SUMPRODUCT((区片价!B317:B337=I2)*(区片价!C3:F3=E2)*(区片价!C317:F337))</f>
        <v>0</v>
      </c>
      <c r="N11" s="2142">
        <f>SUMPRODUCT((因素修正幅度!B317:B337=I2)*(因素修正幅度!C3:F3=E2)*(因素修正幅度!C317:F337))</f>
        <v>0</v>
      </c>
      <c r="O11" s="2384"/>
      <c r="P11" s="2384"/>
      <c r="Q11" s="2384"/>
      <c r="R11" s="3082">
        <v>10</v>
      </c>
      <c r="S11" s="3083"/>
      <c r="T11" s="3082" t="e">
        <f t="shared" si="0"/>
        <v>#DIV/0!</v>
      </c>
      <c r="U11" s="3083"/>
      <c r="V11" s="3082" t="e">
        <f t="shared" si="1"/>
        <v>#DIV/0!</v>
      </c>
      <c r="W11" s="3684" t="s">
        <v>2914</v>
      </c>
      <c r="X11" s="3098" t="s">
        <v>2911</v>
      </c>
      <c r="Y11" s="3099">
        <f>$G$3</f>
        <v>0.38</v>
      </c>
      <c r="Z11" s="3099">
        <f t="shared" ref="Z11:AJ11" si="3">$G$3</f>
        <v>0.38</v>
      </c>
      <c r="AA11" s="3099">
        <f t="shared" si="3"/>
        <v>0.38</v>
      </c>
      <c r="AB11" s="3099">
        <f t="shared" si="3"/>
        <v>0.38</v>
      </c>
      <c r="AC11" s="3099">
        <f t="shared" si="3"/>
        <v>0.38</v>
      </c>
      <c r="AD11" s="3099">
        <f t="shared" si="3"/>
        <v>0.38</v>
      </c>
      <c r="AE11" s="3099">
        <f t="shared" si="3"/>
        <v>0.38</v>
      </c>
      <c r="AF11" s="3099">
        <f t="shared" si="3"/>
        <v>0.38</v>
      </c>
      <c r="AG11" s="3099">
        <f t="shared" si="3"/>
        <v>0.38</v>
      </c>
      <c r="AH11" s="3099">
        <f t="shared" si="3"/>
        <v>0.38</v>
      </c>
      <c r="AI11" s="3099">
        <f t="shared" si="3"/>
        <v>0.38</v>
      </c>
      <c r="AJ11" s="3099">
        <f t="shared" si="3"/>
        <v>0.38</v>
      </c>
    </row>
    <row r="12" spans="1:36" ht="26.25" thickBot="1">
      <c r="A12" s="3672"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2">
        <v>11</v>
      </c>
      <c r="S12" s="3083"/>
      <c r="T12" s="3082" t="e">
        <f t="shared" si="0"/>
        <v>#DIV/0!</v>
      </c>
      <c r="U12" s="3083"/>
      <c r="V12" s="3082" t="e">
        <f t="shared" si="1"/>
        <v>#DIV/0!</v>
      </c>
      <c r="W12" s="3684"/>
      <c r="X12" s="3100" t="s">
        <v>1774</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689"/>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2">
        <v>12</v>
      </c>
      <c r="S13" s="3083"/>
      <c r="T13" s="3082" t="e">
        <f t="shared" si="0"/>
        <v>#DIV/0!</v>
      </c>
      <c r="U13" s="3083"/>
      <c r="V13" s="3082" t="e">
        <f t="shared" si="1"/>
        <v>#DIV/0!</v>
      </c>
      <c r="W13" s="3684"/>
      <c r="X13" s="3100"/>
      <c r="Y13" s="3097">
        <f>(-0.163*(Y12^2)-0.59*Y12+7617)*(10^(-4))/Y11</f>
        <v>2.0044736842105264</v>
      </c>
      <c r="Z13" s="3097">
        <f t="shared" ref="Z13:AJ13" si="5">(-0.163*(Z12^2)-0.59*Z12+7617)*(10^(-4))/Z11</f>
        <v>2.0044736842105264</v>
      </c>
      <c r="AA13" s="3097">
        <f t="shared" si="5"/>
        <v>2.0044736842105264</v>
      </c>
      <c r="AB13" s="3097">
        <f t="shared" si="5"/>
        <v>2.0044736842105264</v>
      </c>
      <c r="AC13" s="3097">
        <f t="shared" si="5"/>
        <v>2.0044736842105264</v>
      </c>
      <c r="AD13" s="3097">
        <f t="shared" si="5"/>
        <v>2.0044736842105264</v>
      </c>
      <c r="AE13" s="3097">
        <f t="shared" si="5"/>
        <v>2.0044736842105264</v>
      </c>
      <c r="AF13" s="3097">
        <f t="shared" si="5"/>
        <v>2.0044736842105264</v>
      </c>
      <c r="AG13" s="3097">
        <f t="shared" si="5"/>
        <v>2.0044736842105264</v>
      </c>
      <c r="AH13" s="3097">
        <f t="shared" si="5"/>
        <v>2.0044736842105264</v>
      </c>
      <c r="AI13" s="3097">
        <f t="shared" si="5"/>
        <v>2.0044736842105264</v>
      </c>
      <c r="AJ13" s="3097">
        <f t="shared" si="5"/>
        <v>2.0044736842105264</v>
      </c>
    </row>
    <row r="14" spans="1:36" ht="15">
      <c r="A14" s="3689"/>
      <c r="B14" s="1672"/>
      <c r="C14" s="1792"/>
      <c r="D14" s="1488"/>
      <c r="E14" s="1488"/>
      <c r="F14" s="1793"/>
      <c r="G14" s="1673" t="s">
        <v>1853</v>
      </c>
      <c r="H14" s="1674"/>
      <c r="I14" s="1675"/>
      <c r="J14" s="1676"/>
      <c r="K14" s="2384"/>
      <c r="L14" s="2384"/>
      <c r="M14" s="2384"/>
      <c r="N14" s="2384"/>
      <c r="O14" s="2384"/>
      <c r="P14" s="2384"/>
      <c r="Q14" s="2384"/>
      <c r="R14" s="3082">
        <v>13</v>
      </c>
      <c r="S14" s="3083"/>
      <c r="T14" s="3082" t="e">
        <f t="shared" si="0"/>
        <v>#DIV/0!</v>
      </c>
      <c r="U14" s="3083"/>
      <c r="V14" s="3082" t="e">
        <f t="shared" si="1"/>
        <v>#DIV/0!</v>
      </c>
      <c r="W14" s="3078"/>
      <c r="X14" s="3078"/>
      <c r="Y14" s="3078"/>
      <c r="Z14" s="3078"/>
      <c r="AA14" s="3078"/>
      <c r="AB14" s="3078"/>
      <c r="AC14" s="3079"/>
      <c r="AD14" s="3080"/>
      <c r="AE14" s="3080"/>
      <c r="AF14" s="3080"/>
      <c r="AG14" s="3080"/>
      <c r="AH14" s="3080"/>
      <c r="AI14" s="3080"/>
      <c r="AJ14" s="3081"/>
    </row>
    <row r="15" spans="1:36" ht="15.75" thickBot="1">
      <c r="A15" s="3690"/>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2">
        <v>14</v>
      </c>
      <c r="S15" s="3083"/>
      <c r="T15" s="3082" t="e">
        <f t="shared" si="0"/>
        <v>#DIV/0!</v>
      </c>
      <c r="U15" s="3083"/>
      <c r="V15" s="3082" t="e">
        <f t="shared" si="1"/>
        <v>#DIV/0!</v>
      </c>
      <c r="W15" s="3078"/>
      <c r="X15" s="3078"/>
      <c r="Y15" s="3078"/>
      <c r="Z15" s="3078"/>
      <c r="AA15" s="3078"/>
      <c r="AB15" s="3078"/>
      <c r="AC15" s="3079"/>
      <c r="AD15" s="3080"/>
      <c r="AE15" s="3080"/>
      <c r="AF15" s="3080"/>
      <c r="AG15" s="3080"/>
      <c r="AH15" s="3080"/>
      <c r="AI15" s="3080"/>
      <c r="AJ15" s="3081"/>
    </row>
    <row r="16" spans="1:36" ht="24">
      <c r="A16" s="3672" t="s">
        <v>1953</v>
      </c>
      <c r="B16" s="1647" t="s">
        <v>1827</v>
      </c>
      <c r="C16" s="1780" t="e">
        <f>ROUND(SUM(G17:J17)/C17,0)</f>
        <v>#DIV/0!</v>
      </c>
      <c r="D16" s="1678" t="s">
        <v>1828</v>
      </c>
      <c r="E16" s="1796"/>
      <c r="F16" s="1797"/>
      <c r="G16" s="1798"/>
      <c r="H16" s="1798"/>
      <c r="I16" s="1798"/>
      <c r="J16" s="1799"/>
      <c r="K16" s="2384"/>
      <c r="L16" s="1714" t="s">
        <v>1847</v>
      </c>
      <c r="M16" s="1658">
        <v>0.25</v>
      </c>
      <c r="N16" s="1658">
        <v>0.2</v>
      </c>
      <c r="O16" s="1658">
        <v>0.15</v>
      </c>
      <c r="P16" s="2734">
        <v>0.1</v>
      </c>
      <c r="Q16" s="2735"/>
      <c r="R16" s="3082">
        <v>15</v>
      </c>
      <c r="S16" s="3083"/>
      <c r="T16" s="3082" t="e">
        <f t="shared" si="0"/>
        <v>#DIV/0!</v>
      </c>
      <c r="U16" s="3083"/>
      <c r="V16" s="3082" t="e">
        <f t="shared" si="1"/>
        <v>#DIV/0!</v>
      </c>
      <c r="W16" s="3090"/>
      <c r="X16" s="3090"/>
      <c r="Y16" s="3090"/>
      <c r="Z16" s="3090"/>
      <c r="AA16" s="3090"/>
      <c r="AB16" s="3090"/>
      <c r="AC16" s="3091"/>
      <c r="AD16" s="3080"/>
      <c r="AE16" s="3080"/>
      <c r="AF16" s="3080"/>
      <c r="AG16" s="3080"/>
      <c r="AH16" s="3080"/>
      <c r="AI16" s="3080"/>
      <c r="AJ16" s="3081"/>
    </row>
    <row r="17" spans="1:37" ht="13.5" thickBot="1">
      <c r="A17" s="3673"/>
      <c r="B17" s="1679" t="s">
        <v>1829</v>
      </c>
      <c r="C17" s="1680">
        <f>SUMPRODUCT((修正!A2:A5=E2)*(修正!B1:M1=G2)*(修正!B2:M5))</f>
        <v>0</v>
      </c>
      <c r="D17" s="1681" t="s">
        <v>1830</v>
      </c>
      <c r="E17" s="1751" t="str">
        <f>IF(OR(G2="八级",G2="九级",G2="十级",G2="十一级",G2="十二级"),"五通一平","七通一平")</f>
        <v>七通一平</v>
      </c>
      <c r="F17" s="1682" t="s">
        <v>1831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1836</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1945</v>
      </c>
      <c r="B18" s="1684" t="s">
        <v>1832</v>
      </c>
      <c r="C18" s="1685">
        <f>SUMIF(修正!C18:C39,E3,修正!E18:E39)</f>
        <v>0</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1946</v>
      </c>
      <c r="B19" s="1684" t="s">
        <v>1833</v>
      </c>
      <c r="C19" s="1693" t="e">
        <f>ROUND(IF(H19="按公示增长率计算",SUMPRODUCT((地价!A3:A19=YEAR(G19)&amp;"-"&amp;ROUNDUP(MONTH(G19)/3,0))*(地价!X2:AB2=E2)*(地价!X3:AB19)),IF(H19="地价指数",M20/M19,(1+I19)^O19)),4)</f>
        <v>#DIV/0!</v>
      </c>
      <c r="D19" s="1694" t="s">
        <v>1154</v>
      </c>
      <c r="E19" s="1695">
        <v>41640</v>
      </c>
      <c r="F19" s="1694" t="s">
        <v>1155</v>
      </c>
      <c r="G19" s="1696">
        <f>'数据-取费表'!B2</f>
        <v>42921</v>
      </c>
      <c r="H19" s="3025" t="s">
        <v>2973</v>
      </c>
      <c r="I19" s="1697" t="str">
        <f>IF(H19="季度增幅（自定义）",SUMIF(N21:N24,E2,O21:O24),"")</f>
        <v/>
      </c>
      <c r="J19" s="1690"/>
      <c r="K19" s="2391"/>
      <c r="L19" s="3251" t="s">
        <v>2971</v>
      </c>
      <c r="M19" s="3253">
        <f>ROUND(SUMIF(地价!B2:F2,E2,地价!B19:F19),0)</f>
        <v>0</v>
      </c>
      <c r="N19" s="3249" t="s">
        <v>1878</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1947</v>
      </c>
      <c r="B20" s="1753" t="s">
        <v>1834</v>
      </c>
      <c r="C20" s="1700" t="e">
        <f>ROUND(POWER(1+G20,J20-I20)*(POWER(1+G20,I20)-1)/(POWER(1+G20,J20)-1),4)</f>
        <v>#DIV/0!</v>
      </c>
      <c r="D20" s="1754" t="s">
        <v>1835</v>
      </c>
      <c r="E20" s="3308">
        <f ca="1">存贷款利率!D4/100</f>
        <v>4.3499999999999997E-2</v>
      </c>
      <c r="F20" s="1754" t="s">
        <v>1836</v>
      </c>
      <c r="G20" s="1755">
        <f>SUMIF(M15:P15,E2,M17:P17)</f>
        <v>0</v>
      </c>
      <c r="H20" s="1754" t="s">
        <v>1837</v>
      </c>
      <c r="I20" s="1756" t="e">
        <f>SUMIF('数据-取费表'!C6:C15,E2,'数据-取费表'!F6:F15)/COUNTIF('数据-取费表'!C6:C15,E2)</f>
        <v>#DIV/0!</v>
      </c>
      <c r="J20" s="1757">
        <f>IF(E2="住宅",70,IF(E2="商业",40,50))</f>
        <v>50</v>
      </c>
      <c r="K20" s="2391"/>
      <c r="L20" s="3252" t="s">
        <v>2972</v>
      </c>
      <c r="M20" s="3254">
        <f>ROUND(SUMPRODUCT((地价!A4:A19=YEAR(G19)&amp;"-"&amp;ROUNDUP(MONTH(G19)/3,0))*(地价!B2:F2=E2)*(地价!B4:F19)),0)</f>
        <v>0</v>
      </c>
      <c r="N20" s="3250" t="s">
        <v>2799</v>
      </c>
      <c r="O20" s="3026" t="s">
        <v>2800</v>
      </c>
      <c r="P20" s="3027" t="s">
        <v>2809</v>
      </c>
      <c r="R20" s="2741"/>
      <c r="S20" s="2741"/>
      <c r="T20" s="2736"/>
      <c r="U20" s="2736"/>
      <c r="V20" s="2736"/>
      <c r="W20" s="2735"/>
      <c r="X20" s="2735"/>
      <c r="Y20" s="2735"/>
      <c r="Z20" s="2742"/>
      <c r="AA20" s="2743"/>
      <c r="AB20" s="2743"/>
      <c r="AC20" s="2743"/>
      <c r="AD20" s="2743"/>
      <c r="AE20" s="1691"/>
      <c r="AF20" s="1691"/>
    </row>
    <row r="21" spans="1:37" s="1640" customFormat="1" ht="14.25">
      <c r="A21" s="1883" t="s">
        <v>1948</v>
      </c>
      <c r="B21" s="1800" t="s">
        <v>2510</v>
      </c>
      <c r="C21" s="1758">
        <f>IF(B21="容积率修正",IF(G3&lt;=10,D22,J22),C23)</f>
        <v>0</v>
      </c>
      <c r="D21" s="1759"/>
      <c r="E21" s="1759"/>
      <c r="F21" s="1759"/>
      <c r="G21" s="1759"/>
      <c r="H21" s="1759"/>
      <c r="I21" s="1759"/>
      <c r="J21" s="1760"/>
      <c r="K21" s="2391"/>
      <c r="N21" s="3028" t="s">
        <v>2801</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1951</v>
      </c>
      <c r="B22" s="1702" t="s">
        <v>1838</v>
      </c>
      <c r="C22" s="1781" t="s">
        <v>1851</v>
      </c>
      <c r="D22" s="1781">
        <f>IF(E22=G22,F22,IF(G3&lt;=10,ROUND(F22+(H22-F22)*(G3-E22)/(G22-E22),4),"——"))</f>
        <v>0</v>
      </c>
      <c r="E22" s="1631">
        <f>ROUNDDOWN(G3,1)</f>
        <v>0.3</v>
      </c>
      <c r="F22" s="17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1">
        <f>ROUNDUP(G3,1)</f>
        <v>0.4</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1" t="s">
        <v>1168</v>
      </c>
      <c r="J22" s="1761" t="str">
        <f>IF(G3&gt;10,D113,"——")</f>
        <v>——</v>
      </c>
      <c r="K22" s="2391"/>
      <c r="N22" s="3028" t="s">
        <v>2802</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1952</v>
      </c>
      <c r="B23" s="1873" t="s">
        <v>1839</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1949</v>
      </c>
      <c r="B24" s="1684" t="s">
        <v>1840</v>
      </c>
      <c r="C24" s="1693">
        <f>SUMIF(A45:A88,E2,B45:B88)</f>
        <v>0</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1950</v>
      </c>
      <c r="B25" s="1705" t="s">
        <v>1841</v>
      </c>
      <c r="C25" s="1706"/>
      <c r="D25" s="1651"/>
      <c r="E25" s="1651"/>
      <c r="F25" s="1707"/>
      <c r="G25" s="1651"/>
      <c r="H25" s="1651"/>
      <c r="I25" s="1651"/>
      <c r="J25" s="1652"/>
      <c r="K25" s="2384"/>
      <c r="N25" s="3035" t="s">
        <v>2803</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1872</v>
      </c>
      <c r="C26" s="538" t="e">
        <f>E29+SUM(E33:E39)</f>
        <v>#DIV/0!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1873</v>
      </c>
      <c r="C27" s="1716" t="e">
        <f>E30+SUM(I33:I39)</f>
        <v>#DIV/0!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1871</v>
      </c>
      <c r="C28" s="1723" t="s">
        <v>1846</v>
      </c>
      <c r="D28" s="1723" t="s">
        <v>1862</v>
      </c>
      <c r="E28" s="1724" t="s">
        <v>1863</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24">
      <c r="A29" s="1782"/>
      <c r="B29" s="1726" t="s">
        <v>1866</v>
      </c>
      <c r="C29" s="538" t="e">
        <f>ROUND(C5*C18*C19*C20*C21*C24,0)</f>
        <v>#DIV/0!</v>
      </c>
      <c r="D29" s="1749"/>
      <c r="E29" s="1783" t="e">
        <f>ROUND(C29*D29/10000,0)</f>
        <v>#DIV/0!</v>
      </c>
      <c r="F29" s="1727" t="s">
        <v>1848</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1867</v>
      </c>
      <c r="C30" s="561" t="e">
        <f>ROUND(IF(E2="工业",C29*M39,C29*M38),0)</f>
        <v>#DIV/0!</v>
      </c>
      <c r="D30" s="1750"/>
      <c r="E30" s="1783" t="e">
        <f>ROUND(C30*D30/10000,0)</f>
        <v>#DIV/0!</v>
      </c>
      <c r="F30" s="1732" t="s">
        <v>1864</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1868</v>
      </c>
      <c r="C31" s="1737" t="s">
        <v>1869</v>
      </c>
      <c r="D31" s="1667"/>
      <c r="E31" s="1737"/>
      <c r="F31" s="1737"/>
      <c r="G31" s="1665" t="s">
        <v>1870</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1846</v>
      </c>
      <c r="D32" s="168" t="s">
        <v>1862</v>
      </c>
      <c r="E32" s="168" t="s">
        <v>1863</v>
      </c>
      <c r="F32" s="1740" t="s">
        <v>1850</v>
      </c>
      <c r="G32" s="1701" t="s">
        <v>1846</v>
      </c>
      <c r="H32" s="1701" t="s">
        <v>1862</v>
      </c>
      <c r="I32" s="1701" t="s">
        <v>1863</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1170</v>
      </c>
      <c r="C33" s="538" t="e">
        <f>ROUND(C5*C19*C20*C24*F33,0)</f>
        <v>#DIV/0!</v>
      </c>
      <c r="D33" s="1749"/>
      <c r="E33" s="532" t="e">
        <f>ROUND(C33*D33/10000,0)</f>
        <v>#DIV/0!</v>
      </c>
      <c r="F33" s="532">
        <f>SUMIF(修正!A45:A56,G2,修正!B45:B56)</f>
        <v>0</v>
      </c>
      <c r="G33" s="532" t="e">
        <f t="shared" ref="G33:G39" si="6">ROUND(IF(E2="工业",C33*$M$39,C33*$M$38),0)</f>
        <v>#DIV/0!</v>
      </c>
      <c r="H33" s="532">
        <f>D33</f>
        <v>0</v>
      </c>
      <c r="I33" s="532" t="e">
        <f>ROUND(G33*H33/10000,0)</f>
        <v>#DIV/0!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1171</v>
      </c>
      <c r="C34" s="538" t="e">
        <f>ROUND(C5*C19*C20*C24*F34,0)</f>
        <v>#DIV/0!</v>
      </c>
      <c r="D34" s="1749"/>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1172</v>
      </c>
      <c r="C35" s="538" t="e">
        <f>ROUND(C5*C19*C20*C24*F35,0)</f>
        <v>#DIV/0!</v>
      </c>
      <c r="D35" s="1749"/>
      <c r="E35" s="532" t="e">
        <f t="shared" si="7"/>
        <v>#DIV/0!</v>
      </c>
      <c r="F35" s="532">
        <f>SUMIF(修正!A45:A56,G2,修正!D45:D56)</f>
        <v>0</v>
      </c>
      <c r="G35" s="532" t="e">
        <f t="shared" si="6"/>
        <v>#DIV/0!</v>
      </c>
      <c r="H35" s="532">
        <f t="shared" si="8"/>
        <v>0</v>
      </c>
      <c r="I35" s="532" t="e">
        <f t="shared" si="9"/>
        <v>#DIV/0!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1173</v>
      </c>
      <c r="C36" s="538" t="e">
        <f>ROUND(C5*C19*C20*C24*F36,0)</f>
        <v>#DIV/0!</v>
      </c>
      <c r="D36" s="1749"/>
      <c r="E36" s="532" t="e">
        <f t="shared" si="7"/>
        <v>#DIV/0!</v>
      </c>
      <c r="F36" s="532">
        <f>SUMIF(修正!A45:A56,G2,修正!E45:E56)</f>
        <v>0</v>
      </c>
      <c r="G36" s="532" t="e">
        <f t="shared" si="6"/>
        <v>#DIV/0!</v>
      </c>
      <c r="H36" s="532">
        <f t="shared" si="8"/>
        <v>0</v>
      </c>
      <c r="I36" s="532" t="e">
        <f t="shared" si="9"/>
        <v>#DIV/0!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1174</v>
      </c>
      <c r="C37" s="532" t="e">
        <f>ROUND(C5*C19*C20*C24*F37,0)</f>
        <v>#DIV/0!</v>
      </c>
      <c r="D37" s="1749"/>
      <c r="E37" s="532" t="e">
        <f t="shared" si="7"/>
        <v>#DIV/0!</v>
      </c>
      <c r="F37" s="538">
        <f>SUMIF(修正!A45:A56,G2,修正!F45:F56)</f>
        <v>0</v>
      </c>
      <c r="G37" s="532" t="e">
        <f t="shared" si="6"/>
        <v>#DIV/0!</v>
      </c>
      <c r="H37" s="532">
        <f t="shared" si="8"/>
        <v>0</v>
      </c>
      <c r="I37" s="532" t="e">
        <f t="shared" si="9"/>
        <v>#DIV/0!</v>
      </c>
      <c r="J37" s="1744"/>
      <c r="K37" s="2384"/>
      <c r="L37" s="2392" t="s">
        <v>1865</v>
      </c>
      <c r="M37" s="2393"/>
      <c r="N37" s="2384"/>
      <c r="O37" s="2384"/>
      <c r="P37" s="2384"/>
      <c r="Q37" s="2384"/>
      <c r="R37" s="2384"/>
      <c r="S37" s="2384"/>
      <c r="T37" s="2384"/>
      <c r="U37" s="2384"/>
      <c r="V37" s="2384"/>
      <c r="W37" s="2384"/>
      <c r="X37" s="2384"/>
      <c r="Y37" s="2384"/>
      <c r="Z37" s="2385"/>
    </row>
    <row r="38" spans="1:37" ht="12.75">
      <c r="A38" s="1742"/>
      <c r="B38" s="1670" t="s">
        <v>1175</v>
      </c>
      <c r="C38" s="532" t="e">
        <f>ROUND(C5*C19*C20*C24*F38,0)</f>
        <v>#DIV/0!</v>
      </c>
      <c r="D38" s="1749"/>
      <c r="E38" s="532" t="e">
        <f t="shared" si="7"/>
        <v>#DIV/0!</v>
      </c>
      <c r="F38" s="538">
        <f>SUMIF(修正!A45:A56,G2,修正!G45:G56)</f>
        <v>0</v>
      </c>
      <c r="G38" s="532" t="e">
        <f t="shared" si="6"/>
        <v>#DIV/0!</v>
      </c>
      <c r="H38" s="532">
        <f t="shared" si="8"/>
        <v>0</v>
      </c>
      <c r="I38" s="532" t="e">
        <f t="shared" si="9"/>
        <v>#DIV/0!</v>
      </c>
      <c r="J38" s="1744"/>
      <c r="K38" s="2384"/>
      <c r="L38" s="1764" t="s">
        <v>1849</v>
      </c>
      <c r="M38" s="1765">
        <v>0.25</v>
      </c>
      <c r="N38" s="2384"/>
      <c r="O38" s="2384"/>
      <c r="P38" s="2384"/>
      <c r="Q38" s="2384"/>
      <c r="R38" s="2384"/>
      <c r="S38" s="2384"/>
      <c r="T38" s="2384"/>
      <c r="U38" s="2384"/>
      <c r="V38" s="2384"/>
      <c r="W38" s="2384"/>
      <c r="X38" s="2384"/>
      <c r="Y38" s="2384"/>
      <c r="Z38" s="2385"/>
    </row>
    <row r="39" spans="1:37" ht="13.5" thickBot="1">
      <c r="A39" s="1730"/>
      <c r="B39" s="1745" t="s">
        <v>1176</v>
      </c>
      <c r="C39" s="561" t="e">
        <f>ROUND(C5*C19*C20*C24*F39,0)</f>
        <v>#DIV/0!</v>
      </c>
      <c r="D39" s="1750"/>
      <c r="E39" s="561" t="e">
        <f t="shared" si="7"/>
        <v>#DIV/0!</v>
      </c>
      <c r="F39" s="1746">
        <f>SUMIF(修正!A45:A56,G2,修正!H45:H56)</f>
        <v>0</v>
      </c>
      <c r="G39" s="561" t="e">
        <f t="shared" si="6"/>
        <v>#DIV/0!</v>
      </c>
      <c r="H39" s="561">
        <f t="shared" si="8"/>
        <v>0</v>
      </c>
      <c r="I39" s="561" t="e">
        <f t="shared" si="9"/>
        <v>#DIV/0!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6" t="s">
        <v>2508</v>
      </c>
      <c r="G47" s="1501" t="s">
        <v>1857</v>
      </c>
      <c r="H47" s="2607" t="s">
        <v>2509</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1789</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1790</v>
      </c>
      <c r="B51" s="3311" t="s">
        <v>3041</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1792</v>
      </c>
      <c r="B53" s="3310" t="s">
        <v>3040</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1793</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1795</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6" t="s">
        <v>2304</v>
      </c>
      <c r="G58" s="1501" t="s">
        <v>1857</v>
      </c>
      <c r="H58" s="2607" t="s">
        <v>2509</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1100</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1790</v>
      </c>
      <c r="B62" s="3311" t="s">
        <v>3041</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1792</v>
      </c>
      <c r="B64" s="3310" t="s">
        <v>3040</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1793</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1794</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1795</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6" t="s">
        <v>2304</v>
      </c>
      <c r="G69" s="1501" t="s">
        <v>1857</v>
      </c>
      <c r="H69" s="2607" t="s">
        <v>2509</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1796</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1793</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1794</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1792</v>
      </c>
      <c r="B76" s="3310" t="s">
        <v>3040</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1797</v>
      </c>
      <c r="B78" s="3309"/>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1111</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6" t="s">
        <v>2304</v>
      </c>
      <c r="G80" s="1501" t="s">
        <v>1857</v>
      </c>
      <c r="H80" s="2607" t="s">
        <v>2509</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1796</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1793</v>
      </c>
      <c r="B85" s="2601" t="str">
        <f>估价对象房地状况!G19</f>
        <v>估价对象所在区域公共配套设施齐备情况</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1794</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1792</v>
      </c>
      <c r="B87" s="3310" t="s">
        <v>2507</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36.75" thickBot="1">
      <c r="A88" s="1511" t="s">
        <v>1798</v>
      </c>
      <c r="B88" s="2602" t="str">
        <f>估价对象房地状况!G18</f>
        <v>该园区内是否有污染型企业，绿化情况，卫生条件，整体环境状况判断</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674" t="s">
        <v>1767</v>
      </c>
      <c r="B90" s="3674"/>
      <c r="C90" s="3674"/>
      <c r="D90" s="3674"/>
      <c r="E90" s="3674"/>
      <c r="F90" s="3674"/>
      <c r="G90" s="3674"/>
      <c r="H90" s="3674"/>
      <c r="I90" s="3674"/>
      <c r="J90" s="3674"/>
      <c r="K90" s="2610"/>
      <c r="L90" s="2610"/>
      <c r="M90" s="2610"/>
      <c r="N90" s="2610"/>
    </row>
    <row r="91" spans="1:37">
      <c r="A91" s="3676" t="s">
        <v>68</v>
      </c>
      <c r="B91" s="3676" t="s">
        <v>1768</v>
      </c>
      <c r="C91" s="1587" t="s">
        <v>1769</v>
      </c>
      <c r="D91" s="1588"/>
      <c r="E91" s="1588"/>
      <c r="F91" s="1588"/>
      <c r="G91" s="1588"/>
      <c r="H91" s="1588"/>
      <c r="I91" s="1588"/>
      <c r="J91" s="1589"/>
      <c r="K91" s="1577"/>
      <c r="L91" s="1577"/>
      <c r="M91" s="1577"/>
      <c r="N91" s="1577"/>
    </row>
    <row r="92" spans="1:37">
      <c r="A92" s="3676"/>
      <c r="B92" s="3676"/>
      <c r="C92" s="2609" t="s">
        <v>165</v>
      </c>
      <c r="D92" s="2609" t="s">
        <v>166</v>
      </c>
      <c r="E92" s="2609" t="s">
        <v>161</v>
      </c>
      <c r="F92" s="2609" t="s">
        <v>162</v>
      </c>
      <c r="G92" s="2609" t="s">
        <v>163</v>
      </c>
      <c r="H92" s="2609" t="s">
        <v>164</v>
      </c>
      <c r="I92" s="2609" t="s">
        <v>1184</v>
      </c>
      <c r="J92" s="2609" t="s">
        <v>1185</v>
      </c>
      <c r="K92" s="2609" t="s">
        <v>1186</v>
      </c>
      <c r="L92" s="2609" t="s">
        <v>1187</v>
      </c>
      <c r="M92" s="2609" t="s">
        <v>1188</v>
      </c>
      <c r="N92" s="2609" t="s">
        <v>1189</v>
      </c>
    </row>
    <row r="93" spans="1:37">
      <c r="A93" s="3677"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7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7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7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7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7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78"/>
      <c r="B99" s="1590" t="s">
        <v>1771</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679"/>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677" t="s">
        <v>1772</v>
      </c>
      <c r="B101" s="1594" t="s">
        <v>93</v>
      </c>
      <c r="C101" s="1595">
        <f>$G$3</f>
        <v>0.38</v>
      </c>
      <c r="D101" s="1595">
        <f t="shared" ref="D101:N101" si="31">$G$3</f>
        <v>0.38</v>
      </c>
      <c r="E101" s="1595">
        <f t="shared" si="31"/>
        <v>0.38</v>
      </c>
      <c r="F101" s="1595">
        <f t="shared" si="31"/>
        <v>0.38</v>
      </c>
      <c r="G101" s="1595">
        <f t="shared" si="31"/>
        <v>0.38</v>
      </c>
      <c r="H101" s="1595">
        <f t="shared" si="31"/>
        <v>0.38</v>
      </c>
      <c r="I101" s="1595">
        <f t="shared" si="31"/>
        <v>0.38</v>
      </c>
      <c r="J101" s="1595">
        <f t="shared" si="31"/>
        <v>0.38</v>
      </c>
      <c r="K101" s="1595">
        <f t="shared" si="31"/>
        <v>0.38</v>
      </c>
      <c r="L101" s="1595">
        <f t="shared" si="31"/>
        <v>0.38</v>
      </c>
      <c r="M101" s="1595">
        <f t="shared" si="31"/>
        <v>0.38</v>
      </c>
      <c r="N101" s="1595">
        <f t="shared" si="31"/>
        <v>0.38</v>
      </c>
    </row>
    <row r="102" spans="1:14">
      <c r="A102" s="3678"/>
      <c r="B102" s="1590">
        <v>1</v>
      </c>
      <c r="C102" s="1591">
        <f>1.9362/C101</f>
        <v>5.0952631578947365</v>
      </c>
      <c r="D102" s="1591">
        <f>1.9362/D101</f>
        <v>5.0952631578947365</v>
      </c>
      <c r="E102" s="1591">
        <f>1.8629/E101</f>
        <v>4.9023684210526319</v>
      </c>
      <c r="F102" s="1591">
        <f>1.8629/F101</f>
        <v>4.9023684210526319</v>
      </c>
      <c r="G102" s="1591">
        <f>1.8629/G101</f>
        <v>4.9023684210526319</v>
      </c>
      <c r="H102" s="1591">
        <f>1.8629/H101</f>
        <v>4.9023684210526319</v>
      </c>
      <c r="I102" s="1591">
        <f>1.8629/I101</f>
        <v>4.9023684210526319</v>
      </c>
      <c r="J102" s="1591">
        <f>1.942/J101</f>
        <v>5.1105263157894738</v>
      </c>
      <c r="K102" s="1591">
        <f>1.942/K101</f>
        <v>5.1105263157894738</v>
      </c>
      <c r="L102" s="1591">
        <f>1.942/L101</f>
        <v>5.1105263157894738</v>
      </c>
      <c r="M102" s="1591">
        <f>1.942/M101</f>
        <v>5.1105263157894738</v>
      </c>
      <c r="N102" s="1591">
        <f>1.942/N101</f>
        <v>5.1105263157894738</v>
      </c>
    </row>
    <row r="103" spans="1:14">
      <c r="A103" s="3678"/>
      <c r="B103" s="1590">
        <v>2</v>
      </c>
      <c r="C103" s="1591">
        <f>1.4198/C101</f>
        <v>3.736315789473684</v>
      </c>
      <c r="D103" s="1591">
        <f>1.4198/D101</f>
        <v>3.736315789473684</v>
      </c>
      <c r="E103" s="1591">
        <f>1.3372/E101</f>
        <v>3.5189473684210526</v>
      </c>
      <c r="F103" s="1591">
        <f>1.3372/F101</f>
        <v>3.5189473684210526</v>
      </c>
      <c r="G103" s="1591">
        <f>1.3372/G101</f>
        <v>3.5189473684210526</v>
      </c>
      <c r="H103" s="1591">
        <f>1.3372/H101</f>
        <v>3.5189473684210526</v>
      </c>
      <c r="I103" s="1591">
        <f>1.3372/I101</f>
        <v>3.5189473684210526</v>
      </c>
      <c r="J103" s="1591">
        <f>1.2799/J101</f>
        <v>3.368157894736842</v>
      </c>
      <c r="K103" s="1591">
        <f>1.2799/K101</f>
        <v>3.368157894736842</v>
      </c>
      <c r="L103" s="1591">
        <f>1.2799/L101</f>
        <v>3.368157894736842</v>
      </c>
      <c r="M103" s="1591">
        <f>1.2799/M101</f>
        <v>3.368157894736842</v>
      </c>
      <c r="N103" s="1591">
        <f>1.2799/N101</f>
        <v>3.368157894736842</v>
      </c>
    </row>
    <row r="104" spans="1:14">
      <c r="A104" s="3678"/>
      <c r="B104" s="1590">
        <v>3</v>
      </c>
      <c r="C104" s="1591">
        <f>1.1594/C101</f>
        <v>3.0510526315789472</v>
      </c>
      <c r="D104" s="1591">
        <f>1.1594/D101</f>
        <v>3.0510526315789472</v>
      </c>
      <c r="E104" s="1591">
        <f>1.0788/E101</f>
        <v>2.8389473684210524</v>
      </c>
      <c r="F104" s="1591">
        <f>1.0788/F101</f>
        <v>2.8389473684210524</v>
      </c>
      <c r="G104" s="1591">
        <f>1.0788/G101</f>
        <v>2.8389473684210524</v>
      </c>
      <c r="H104" s="1591">
        <f>1.0788/H101</f>
        <v>2.8389473684210524</v>
      </c>
      <c r="I104" s="1591">
        <f>1.0788/I101</f>
        <v>2.8389473684210524</v>
      </c>
      <c r="J104" s="1591">
        <f>1.0072/J101</f>
        <v>2.6505263157894738</v>
      </c>
      <c r="K104" s="1591">
        <f>1.0072/K101</f>
        <v>2.6505263157894738</v>
      </c>
      <c r="L104" s="1591">
        <f>1.0072/L101</f>
        <v>2.6505263157894738</v>
      </c>
      <c r="M104" s="1591">
        <f>1.0072/M101</f>
        <v>2.6505263157894738</v>
      </c>
      <c r="N104" s="1591">
        <f>1.0072/N101</f>
        <v>2.6505263157894738</v>
      </c>
    </row>
    <row r="105" spans="1:14">
      <c r="A105" s="3678"/>
      <c r="B105" s="1590">
        <v>4</v>
      </c>
      <c r="C105" s="1591">
        <f>0.9622/C101</f>
        <v>2.5321052631578946</v>
      </c>
      <c r="D105" s="1591">
        <f>0.9622/D101</f>
        <v>2.5321052631578946</v>
      </c>
      <c r="E105" s="1591">
        <f>0.8656/E101</f>
        <v>2.2778947368421054</v>
      </c>
      <c r="F105" s="1591">
        <f>0.8656/F101</f>
        <v>2.2778947368421054</v>
      </c>
      <c r="G105" s="1591">
        <f>0.8656/G101</f>
        <v>2.2778947368421054</v>
      </c>
      <c r="H105" s="1591">
        <f>0.8656/H101</f>
        <v>2.2778947368421054</v>
      </c>
      <c r="I105" s="1591">
        <f>0.8656/I101</f>
        <v>2.2778947368421054</v>
      </c>
      <c r="J105" s="1591">
        <f>0.7525/J101</f>
        <v>1.9802631578947367</v>
      </c>
      <c r="K105" s="1591">
        <f>0.7525/K101</f>
        <v>1.9802631578947367</v>
      </c>
      <c r="L105" s="1591">
        <f>0.7525/L101</f>
        <v>1.9802631578947367</v>
      </c>
      <c r="M105" s="1591">
        <f>0.7525/M101</f>
        <v>1.9802631578947367</v>
      </c>
      <c r="N105" s="1591">
        <f>0.7525/N101</f>
        <v>1.9802631578947367</v>
      </c>
    </row>
    <row r="106" spans="1:14">
      <c r="A106" s="3678"/>
      <c r="B106" s="1590">
        <v>5</v>
      </c>
      <c r="C106" s="1591">
        <f>0.8417/C101</f>
        <v>2.2149999999999999</v>
      </c>
      <c r="D106" s="1591">
        <f>0.8417/D101</f>
        <v>2.2149999999999999</v>
      </c>
      <c r="E106" s="1591">
        <f>0.7371/E101</f>
        <v>1.939736842105263</v>
      </c>
      <c r="F106" s="1591">
        <f>0.7371/F101</f>
        <v>1.939736842105263</v>
      </c>
      <c r="G106" s="1591">
        <f>0.7371/G101</f>
        <v>1.939736842105263</v>
      </c>
      <c r="H106" s="1591">
        <f>0.7371/H101</f>
        <v>1.939736842105263</v>
      </c>
      <c r="I106" s="1591">
        <f>0.7371/I101</f>
        <v>1.939736842105263</v>
      </c>
      <c r="J106" s="1591">
        <f>0.5659/J101</f>
        <v>1.4892105263157893</v>
      </c>
      <c r="K106" s="1591">
        <f>0.5659/K101</f>
        <v>1.4892105263157893</v>
      </c>
      <c r="L106" s="1591">
        <f>0.5659/L101</f>
        <v>1.4892105263157893</v>
      </c>
      <c r="M106" s="1591">
        <f>0.5659/M101</f>
        <v>1.4892105263157893</v>
      </c>
      <c r="N106" s="1591">
        <f>0.5659/N101</f>
        <v>1.4892105263157893</v>
      </c>
    </row>
    <row r="107" spans="1:14">
      <c r="A107" s="3678"/>
      <c r="B107" s="1590">
        <v>6</v>
      </c>
      <c r="C107" s="1591">
        <f>0.7608/C101</f>
        <v>2.0021052631578948</v>
      </c>
      <c r="D107" s="1591">
        <f>0.7608/D101</f>
        <v>2.0021052631578948</v>
      </c>
      <c r="E107" s="1591">
        <f>0.6482/E101</f>
        <v>1.7057894736842105</v>
      </c>
      <c r="F107" s="1591">
        <f>0.6482/F101</f>
        <v>1.7057894736842105</v>
      </c>
      <c r="G107" s="1591">
        <f>0.6482/G101</f>
        <v>1.7057894736842105</v>
      </c>
      <c r="H107" s="1591">
        <f>0.6482/H101</f>
        <v>1.7057894736842105</v>
      </c>
      <c r="I107" s="1591">
        <f>0.6482/I101</f>
        <v>1.7057894736842105</v>
      </c>
      <c r="J107" s="1591">
        <f>0.4525/J101</f>
        <v>1.1907894736842106</v>
      </c>
      <c r="K107" s="1591">
        <f>0.4525/K101</f>
        <v>1.1907894736842106</v>
      </c>
      <c r="L107" s="1591">
        <f>0.4525/L101</f>
        <v>1.1907894736842106</v>
      </c>
      <c r="M107" s="1591">
        <f>0.4525/M101</f>
        <v>1.1907894736842106</v>
      </c>
      <c r="N107" s="1591">
        <f>0.4525/N101</f>
        <v>1.1907894736842106</v>
      </c>
    </row>
    <row r="108" spans="1:14">
      <c r="A108" s="3678"/>
      <c r="B108" s="3680" t="s">
        <v>1774</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679"/>
      <c r="B109" s="3681"/>
      <c r="C109" s="1593">
        <f>(-0.163*(C108^2)-0.59*C108+7617)*(10^(-4))/C101</f>
        <v>2.0044736842105264</v>
      </c>
      <c r="D109" s="1593">
        <f>(-0.163*(D108^2)-0.59*D108+7617)*(10^(-4))/D101</f>
        <v>2.0044736842105264</v>
      </c>
      <c r="E109" s="1593">
        <f>(-0.161*(E108^2)-7.509*E108+6533)*(10^(-4))/E101</f>
        <v>1.7192105263157895</v>
      </c>
      <c r="F109" s="1593">
        <f>(-0.161*(F108^2)-7.509*F108+6533)*(10^(-4))/F101</f>
        <v>1.7192105263157895</v>
      </c>
      <c r="G109" s="1593">
        <f>(-0.161*(G108^2)-7.509*G108+6533)*(10^(-4))/G101</f>
        <v>1.7192105263157895</v>
      </c>
      <c r="H109" s="1593">
        <f>(-0.161*(H108^2)-7.509*H108+6533)*(10^(-4))/H101</f>
        <v>1.7192105263157895</v>
      </c>
      <c r="I109" s="1593">
        <f>(-0.161*(I108^2)-7.509*I108+6533)*(10^(-4))/I101</f>
        <v>1.7192105263157895</v>
      </c>
      <c r="J109" s="1593">
        <f>(-0.214*(J108^2)-21.991*J108+4665)*(10^(-4))/J101</f>
        <v>1.2276315789473684</v>
      </c>
      <c r="K109" s="1593">
        <f>(-0.214*(K108^2)-21.991*K108+4665)*(10^(-4))/K101</f>
        <v>1.2276315789473684</v>
      </c>
      <c r="L109" s="1593">
        <f>(-0.214*(L108^2)-21.991*L108+4665)*(10^(-4))/L101</f>
        <v>1.2276315789473684</v>
      </c>
      <c r="M109" s="1593">
        <f>(-0.214*(M108^2)-21.991*M108+4665)*(10^(-4))/M101</f>
        <v>1.2276315789473684</v>
      </c>
      <c r="N109" s="1593">
        <f>(-0.214*(N108^2)-21.991*N108+4665)*(10^(-4))/N101</f>
        <v>1.2276315789473684</v>
      </c>
    </row>
    <row r="110" spans="1:14">
      <c r="A110" s="3675" t="s">
        <v>1775</v>
      </c>
      <c r="B110" s="3675"/>
      <c r="C110" s="3675"/>
      <c r="D110" s="3675"/>
      <c r="E110" s="3675"/>
      <c r="F110" s="3675"/>
      <c r="G110" s="3675"/>
      <c r="H110" s="3675"/>
      <c r="I110" s="3675"/>
      <c r="J110" s="3675"/>
      <c r="K110" s="2608"/>
      <c r="L110" s="2608"/>
      <c r="M110" s="2608"/>
      <c r="N110" s="2608"/>
    </row>
    <row r="112" spans="1:14" ht="12.75" thickBot="1"/>
    <row r="113" spans="1:13" ht="25.5" thickBot="1">
      <c r="A113" s="1603" t="s">
        <v>1777</v>
      </c>
      <c r="B113" s="2611">
        <f>G3</f>
        <v>0.38</v>
      </c>
      <c r="C113" s="1604" t="s">
        <v>1778</v>
      </c>
      <c r="D113" s="1605">
        <f>SUMPRODUCT((A115:A118=F113)*(B114:M114=H113)*B115:M118)</f>
        <v>0</v>
      </c>
      <c r="E113" s="1606" t="s">
        <v>68</v>
      </c>
      <c r="F113" s="1607">
        <f>E2</f>
        <v>0</v>
      </c>
      <c r="G113" s="1606" t="s">
        <v>1567</v>
      </c>
      <c r="H113" s="1607">
        <f>G2</f>
        <v>0</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2.75">
      <c r="A115" s="1616" t="s">
        <v>1779</v>
      </c>
      <c r="B115" s="1617">
        <f>ROUND(0.9335-0.0094*B113,4)</f>
        <v>0.92989999999999995</v>
      </c>
      <c r="C115" s="1617">
        <f>B115</f>
        <v>0.92989999999999995</v>
      </c>
      <c r="D115" s="1617">
        <f>ROUND(0.8331-0.0109*B113,4)</f>
        <v>0.82899999999999996</v>
      </c>
      <c r="E115" s="1617">
        <f>D115</f>
        <v>0.82899999999999996</v>
      </c>
      <c r="F115" s="1617">
        <f>E115</f>
        <v>0.82899999999999996</v>
      </c>
      <c r="G115" s="1617">
        <f>F115</f>
        <v>0.82899999999999996</v>
      </c>
      <c r="H115" s="1617">
        <f>G115</f>
        <v>0.82899999999999996</v>
      </c>
      <c r="I115" s="1617">
        <f>ROUND(0.689-0.0155*B113,4)</f>
        <v>0.68310000000000004</v>
      </c>
      <c r="J115" s="1617">
        <f t="shared" ref="J115:M118" si="33">I115</f>
        <v>0.68310000000000004</v>
      </c>
      <c r="K115" s="1617">
        <f t="shared" si="33"/>
        <v>0.68310000000000004</v>
      </c>
      <c r="L115" s="1617">
        <f t="shared" si="33"/>
        <v>0.68310000000000004</v>
      </c>
      <c r="M115" s="1618">
        <f t="shared" si="33"/>
        <v>0.68310000000000004</v>
      </c>
    </row>
    <row r="116" spans="1:13" ht="12.75">
      <c r="A116" s="1616" t="s">
        <v>1780</v>
      </c>
      <c r="B116" s="1617">
        <f>ROUND(0.949-0.012*B113,4)</f>
        <v>0.94440000000000002</v>
      </c>
      <c r="C116" s="1617">
        <f>B116</f>
        <v>0.94440000000000002</v>
      </c>
      <c r="D116" s="1617">
        <f>ROUND(0.8567-0.013*B113,4)</f>
        <v>0.8518</v>
      </c>
      <c r="E116" s="1617">
        <f t="shared" ref="E116:H117" si="34">D116</f>
        <v>0.8518</v>
      </c>
      <c r="F116" s="1617">
        <f t="shared" si="34"/>
        <v>0.8518</v>
      </c>
      <c r="G116" s="1617">
        <f t="shared" si="34"/>
        <v>0.8518</v>
      </c>
      <c r="H116" s="1617">
        <f t="shared" si="34"/>
        <v>0.8518</v>
      </c>
      <c r="I116" s="1617">
        <f>ROUND(0.7694-0.014*B113,4)</f>
        <v>0.7641</v>
      </c>
      <c r="J116" s="1617">
        <f t="shared" si="33"/>
        <v>0.7641</v>
      </c>
      <c r="K116" s="1617">
        <f t="shared" si="33"/>
        <v>0.7641</v>
      </c>
      <c r="L116" s="1617">
        <f t="shared" si="33"/>
        <v>0.7641</v>
      </c>
      <c r="M116" s="1618">
        <f t="shared" si="33"/>
        <v>0.7641</v>
      </c>
    </row>
    <row r="117" spans="1:13" ht="12.75">
      <c r="A117" s="1619" t="s">
        <v>984</v>
      </c>
      <c r="B117" s="1617">
        <f>ROUND(0.8808-0.006*B113,4)</f>
        <v>0.87849999999999995</v>
      </c>
      <c r="C117" s="1617">
        <f>B117</f>
        <v>0.87849999999999995</v>
      </c>
      <c r="D117" s="1617">
        <f>ROUND(0.8748-0.008*B113,4)</f>
        <v>0.87180000000000002</v>
      </c>
      <c r="E117" s="1617">
        <f t="shared" si="34"/>
        <v>0.87180000000000002</v>
      </c>
      <c r="F117" s="1617">
        <f t="shared" si="34"/>
        <v>0.87180000000000002</v>
      </c>
      <c r="G117" s="1617">
        <f t="shared" si="34"/>
        <v>0.87180000000000002</v>
      </c>
      <c r="H117" s="1617">
        <f t="shared" si="34"/>
        <v>0.87180000000000002</v>
      </c>
      <c r="I117" s="1617">
        <f>ROUND(0.7412-0.0095*B113,4)</f>
        <v>0.73760000000000003</v>
      </c>
      <c r="J117" s="1617">
        <f t="shared" si="33"/>
        <v>0.73760000000000003</v>
      </c>
      <c r="K117" s="1617">
        <f t="shared" si="33"/>
        <v>0.73760000000000003</v>
      </c>
      <c r="L117" s="1617">
        <f t="shared" si="33"/>
        <v>0.73760000000000003</v>
      </c>
      <c r="M117" s="1618">
        <f t="shared" si="33"/>
        <v>0.73760000000000003</v>
      </c>
    </row>
    <row r="118" spans="1:13" ht="13.5" thickBot="1">
      <c r="A118" s="1123" t="s">
        <v>1781</v>
      </c>
      <c r="B118" s="1620">
        <f>ROUND(0.7275-0.01*B113,4)</f>
        <v>0.72370000000000001</v>
      </c>
      <c r="C118" s="1620">
        <f>B118</f>
        <v>0.72370000000000001</v>
      </c>
      <c r="D118" s="1620">
        <f>ROUND(0.7043-0.012*B113,4)</f>
        <v>0.69969999999999999</v>
      </c>
      <c r="E118" s="1620">
        <f>D118</f>
        <v>0.69969999999999999</v>
      </c>
      <c r="F118" s="1620">
        <f>E118</f>
        <v>0.69969999999999999</v>
      </c>
      <c r="G118" s="1620">
        <f>ROUND(0.6299-0.0122*B113,4)</f>
        <v>0.62529999999999997</v>
      </c>
      <c r="H118" s="1620">
        <f>G118</f>
        <v>0.62529999999999997</v>
      </c>
      <c r="I118" s="1620">
        <f>ROUND(0.5667-0.0136*B113,4)</f>
        <v>0.5615</v>
      </c>
      <c r="J118" s="1620">
        <f t="shared" si="33"/>
        <v>0.5615</v>
      </c>
      <c r="K118" s="1620">
        <f t="shared" si="33"/>
        <v>0.5615</v>
      </c>
      <c r="L118" s="1620">
        <f t="shared" si="33"/>
        <v>0.5615</v>
      </c>
      <c r="M118" s="1621">
        <f t="shared" si="33"/>
        <v>0.5615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76" t="s">
        <v>1204</v>
      </c>
      <c r="B18" s="1573" t="s">
        <v>1581</v>
      </c>
      <c r="C18" s="1574" t="s">
        <v>1582</v>
      </c>
      <c r="D18" s="1575"/>
      <c r="E18" s="1573">
        <v>1</v>
      </c>
      <c r="F18" s="1576" t="s">
        <v>1583</v>
      </c>
      <c r="G18" s="1577"/>
      <c r="H18" s="1569"/>
      <c r="I18" s="1569"/>
    </row>
    <row r="19" spans="1:9" s="1578" customFormat="1" ht="19.5" customHeight="1">
      <c r="A19" s="3676"/>
      <c r="B19" s="3676" t="s">
        <v>1584</v>
      </c>
      <c r="C19" s="1574" t="s">
        <v>1585</v>
      </c>
      <c r="D19" s="1575"/>
      <c r="E19" s="1573">
        <v>0.9</v>
      </c>
      <c r="F19" s="1576" t="s">
        <v>1586</v>
      </c>
      <c r="G19" s="1577"/>
      <c r="H19" s="1569"/>
      <c r="I19" s="1569"/>
    </row>
    <row r="20" spans="1:9" s="1578" customFormat="1" ht="19.5" customHeight="1">
      <c r="A20" s="3676"/>
      <c r="B20" s="3676"/>
      <c r="C20" s="1574" t="s">
        <v>1587</v>
      </c>
      <c r="D20" s="1575"/>
      <c r="E20" s="1573">
        <v>1.1000000000000001</v>
      </c>
      <c r="F20" s="1576" t="s">
        <v>1588</v>
      </c>
      <c r="G20" s="1577"/>
      <c r="H20" s="1569"/>
      <c r="I20" s="1569"/>
    </row>
    <row r="21" spans="1:9" s="1578" customFormat="1" ht="19.5" customHeight="1">
      <c r="A21" s="3676"/>
      <c r="B21" s="3676"/>
      <c r="C21" s="1574" t="s">
        <v>1589</v>
      </c>
      <c r="D21" s="1575"/>
      <c r="E21" s="1573">
        <v>0.8</v>
      </c>
      <c r="F21" s="1576" t="s">
        <v>1590</v>
      </c>
      <c r="G21" s="1577"/>
      <c r="H21" s="1569"/>
      <c r="I21" s="1569"/>
    </row>
    <row r="22" spans="1:9" s="1578" customFormat="1" ht="19.5" customHeight="1">
      <c r="A22" s="3676"/>
      <c r="B22" s="3676"/>
      <c r="C22" s="1574" t="s">
        <v>1591</v>
      </c>
      <c r="D22" s="1575"/>
      <c r="E22" s="1573">
        <v>0.5</v>
      </c>
      <c r="F22" s="1576"/>
      <c r="G22" s="1577"/>
      <c r="H22" s="1569"/>
      <c r="I22" s="1569"/>
    </row>
    <row r="23" spans="1:9" s="1578" customFormat="1" ht="19.5" customHeight="1">
      <c r="A23" s="3676" t="s">
        <v>1205</v>
      </c>
      <c r="B23" s="1573" t="s">
        <v>1581</v>
      </c>
      <c r="C23" s="1574" t="s">
        <v>1592</v>
      </c>
      <c r="D23" s="1575"/>
      <c r="E23" s="1573">
        <v>1</v>
      </c>
      <c r="F23" s="1576" t="s">
        <v>1593</v>
      </c>
      <c r="G23" s="1577"/>
      <c r="H23" s="1569"/>
      <c r="I23" s="1569"/>
    </row>
    <row r="24" spans="1:9" s="1578" customFormat="1" ht="19.5" customHeight="1">
      <c r="A24" s="3676"/>
      <c r="B24" s="3676" t="s">
        <v>1584</v>
      </c>
      <c r="C24" s="1574" t="s">
        <v>1594</v>
      </c>
      <c r="D24" s="1575"/>
      <c r="E24" s="1573">
        <v>0.5</v>
      </c>
      <c r="F24" s="1576"/>
      <c r="G24" s="1577"/>
      <c r="H24" s="1569"/>
      <c r="I24" s="1569"/>
    </row>
    <row r="25" spans="1:9" s="1578" customFormat="1" ht="19.5" customHeight="1">
      <c r="A25" s="3676"/>
      <c r="B25" s="3676"/>
      <c r="C25" s="1574" t="s">
        <v>1595</v>
      </c>
      <c r="D25" s="1575"/>
      <c r="E25" s="1573">
        <v>1.1000000000000001</v>
      </c>
      <c r="F25" s="1576"/>
      <c r="G25" s="1577"/>
      <c r="H25" s="1569"/>
      <c r="I25" s="1569"/>
    </row>
    <row r="26" spans="1:9" s="1578" customFormat="1" ht="19.5" customHeight="1">
      <c r="A26" s="3676"/>
      <c r="B26" s="3676"/>
      <c r="C26" s="1574" t="s">
        <v>1596</v>
      </c>
      <c r="D26" s="1575"/>
      <c r="E26" s="1573">
        <v>1.1000000000000001</v>
      </c>
      <c r="F26" s="1576"/>
      <c r="G26" s="1577"/>
      <c r="H26" s="1569"/>
      <c r="I26" s="1569"/>
    </row>
    <row r="27" spans="1:9" s="1578" customFormat="1" ht="19.5" customHeight="1">
      <c r="A27" s="3676"/>
      <c r="B27" s="3676"/>
      <c r="C27" s="1574" t="s">
        <v>1597</v>
      </c>
      <c r="D27" s="1575"/>
      <c r="E27" s="1573">
        <v>0.9</v>
      </c>
      <c r="F27" s="1576" t="s">
        <v>1598</v>
      </c>
      <c r="G27" s="1577"/>
      <c r="H27" s="1569"/>
      <c r="I27" s="1569"/>
    </row>
    <row r="28" spans="1:9" s="1578" customFormat="1" ht="19.5" customHeight="1">
      <c r="A28" s="3676"/>
      <c r="B28" s="3676"/>
      <c r="C28" s="1574" t="s">
        <v>1599</v>
      </c>
      <c r="D28" s="1575"/>
      <c r="E28" s="1573">
        <v>0.9</v>
      </c>
      <c r="F28" s="1576" t="s">
        <v>1600</v>
      </c>
      <c r="G28" s="1577"/>
      <c r="H28" s="1569"/>
      <c r="I28" s="1569"/>
    </row>
    <row r="29" spans="1:9" s="1578" customFormat="1" ht="19.5" customHeight="1">
      <c r="A29" s="3676"/>
      <c r="B29" s="3676"/>
      <c r="C29" s="1574" t="s">
        <v>1601</v>
      </c>
      <c r="D29" s="1575"/>
      <c r="E29" s="1573">
        <v>0.9</v>
      </c>
      <c r="F29" s="1576" t="s">
        <v>1602</v>
      </c>
      <c r="G29" s="1577"/>
      <c r="H29" s="1569"/>
      <c r="I29" s="1569"/>
    </row>
    <row r="30" spans="1:9" s="1578" customFormat="1" ht="19.5" customHeight="1">
      <c r="A30" s="3676"/>
      <c r="B30" s="3676"/>
      <c r="C30" s="1574" t="s">
        <v>1603</v>
      </c>
      <c r="D30" s="1575"/>
      <c r="E30" s="1573">
        <v>0.9</v>
      </c>
      <c r="F30" s="1576" t="s">
        <v>1604</v>
      </c>
      <c r="G30" s="1577"/>
      <c r="H30" s="1569"/>
      <c r="I30" s="1569"/>
    </row>
    <row r="31" spans="1:9" s="1578" customFormat="1" ht="19.5" customHeight="1">
      <c r="A31" s="3676"/>
      <c r="B31" s="3676"/>
      <c r="C31" s="1574" t="s">
        <v>1605</v>
      </c>
      <c r="D31" s="1575"/>
      <c r="E31" s="1573">
        <v>0.8</v>
      </c>
      <c r="F31" s="1576" t="s">
        <v>1606</v>
      </c>
      <c r="G31" s="1577"/>
      <c r="H31" s="1569"/>
      <c r="I31" s="1569"/>
    </row>
    <row r="32" spans="1:9" s="1578" customFormat="1" ht="19.5" customHeight="1">
      <c r="A32" s="3676"/>
      <c r="B32" s="3676"/>
      <c r="C32" s="1574" t="s">
        <v>1607</v>
      </c>
      <c r="D32" s="1575"/>
      <c r="E32" s="1573">
        <v>0.8</v>
      </c>
      <c r="F32" s="1576" t="s">
        <v>1608</v>
      </c>
      <c r="G32" s="1577"/>
      <c r="H32" s="1569"/>
      <c r="I32" s="1569"/>
    </row>
    <row r="33" spans="1:9" s="1578" customFormat="1" ht="19.5" customHeight="1">
      <c r="A33" s="3676" t="s">
        <v>1206</v>
      </c>
      <c r="B33" s="1573" t="s">
        <v>1581</v>
      </c>
      <c r="C33" s="1574" t="s">
        <v>1609</v>
      </c>
      <c r="D33" s="1575"/>
      <c r="E33" s="1573">
        <v>1</v>
      </c>
      <c r="F33" s="1576" t="s">
        <v>1610</v>
      </c>
      <c r="G33" s="1577"/>
      <c r="H33" s="1569"/>
      <c r="I33" s="1569"/>
    </row>
    <row r="34" spans="1:9" s="1578" customFormat="1" ht="19.5" customHeight="1">
      <c r="A34" s="3676"/>
      <c r="B34" s="1573" t="s">
        <v>1584</v>
      </c>
      <c r="C34" s="1574" t="s">
        <v>1611</v>
      </c>
      <c r="D34" s="1575"/>
      <c r="E34" s="1573">
        <v>1.5</v>
      </c>
      <c r="F34" s="1576" t="s">
        <v>1612</v>
      </c>
      <c r="G34" s="1577"/>
      <c r="H34" s="1569"/>
      <c r="I34" s="1569"/>
    </row>
    <row r="35" spans="1:9" s="1578" customFormat="1" ht="19.5" customHeight="1">
      <c r="A35" s="3676" t="s">
        <v>1207</v>
      </c>
      <c r="B35" s="1573" t="s">
        <v>1581</v>
      </c>
      <c r="C35" s="1574" t="s">
        <v>1613</v>
      </c>
      <c r="D35" s="1575"/>
      <c r="E35" s="1573">
        <v>1</v>
      </c>
      <c r="F35" s="1576" t="s">
        <v>1614</v>
      </c>
      <c r="G35" s="1577"/>
      <c r="H35" s="1569"/>
      <c r="I35" s="1569"/>
    </row>
    <row r="36" spans="1:9" s="1578" customFormat="1" ht="19.5" customHeight="1">
      <c r="A36" s="3676"/>
      <c r="B36" s="3676" t="s">
        <v>1584</v>
      </c>
      <c r="C36" s="1574" t="s">
        <v>1615</v>
      </c>
      <c r="D36" s="1575"/>
      <c r="E36" s="1573">
        <v>1</v>
      </c>
      <c r="F36" s="1576" t="s">
        <v>1616</v>
      </c>
      <c r="G36" s="1577"/>
      <c r="H36" s="1569"/>
      <c r="I36" s="1569"/>
    </row>
    <row r="37" spans="1:9" s="1578" customFormat="1" ht="19.5" customHeight="1">
      <c r="A37" s="3676"/>
      <c r="B37" s="3676"/>
      <c r="C37" s="1574" t="s">
        <v>1617</v>
      </c>
      <c r="D37" s="1575"/>
      <c r="E37" s="1573">
        <v>1.5</v>
      </c>
      <c r="F37" s="1576" t="s">
        <v>1618</v>
      </c>
      <c r="G37" s="1577"/>
      <c r="H37" s="1569"/>
      <c r="I37" s="1569"/>
    </row>
    <row r="38" spans="1:9" s="1578" customFormat="1" ht="19.5" customHeight="1">
      <c r="A38" s="3676"/>
      <c r="B38" s="3676"/>
      <c r="C38" s="1574" t="s">
        <v>1619</v>
      </c>
      <c r="D38" s="1575"/>
      <c r="E38" s="1573">
        <v>1</v>
      </c>
      <c r="F38" s="1576" t="s">
        <v>1620</v>
      </c>
      <c r="G38" s="1577"/>
      <c r="H38" s="1569"/>
      <c r="I38" s="1569"/>
    </row>
    <row r="39" spans="1:9" s="1578" customFormat="1" ht="19.5" customHeight="1">
      <c r="A39" s="3676"/>
      <c r="B39" s="3676"/>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3.5">
      <c r="A60" s="1769"/>
      <c r="B60" s="1769"/>
      <c r="C60" s="1769" t="s">
        <v>1766</v>
      </c>
      <c r="D60" s="1769"/>
      <c r="E60" s="1586" t="s">
        <v>23</v>
      </c>
      <c r="F60" s="1769" t="s">
        <v>23</v>
      </c>
    </row>
    <row r="61" spans="1:8" s="1569" customFormat="1" ht="24">
      <c r="A61" s="1573">
        <v>1</v>
      </c>
      <c r="B61" s="3676" t="s">
        <v>1635</v>
      </c>
      <c r="C61" s="1499" t="s">
        <v>1636</v>
      </c>
      <c r="D61" s="1499" t="s">
        <v>1637</v>
      </c>
      <c r="E61" s="1586">
        <v>0.5</v>
      </c>
      <c r="F61" s="1573">
        <v>80</v>
      </c>
    </row>
    <row r="62" spans="1:8" s="1569" customFormat="1" ht="24">
      <c r="A62" s="1573">
        <v>2</v>
      </c>
      <c r="B62" s="3676"/>
      <c r="C62" s="1499" t="s">
        <v>1638</v>
      </c>
      <c r="D62" s="1499" t="s">
        <v>1639</v>
      </c>
      <c r="E62" s="1586">
        <v>0.5</v>
      </c>
      <c r="F62" s="1573">
        <v>80</v>
      </c>
    </row>
    <row r="63" spans="1:8" s="1569" customFormat="1" ht="36">
      <c r="A63" s="1573">
        <v>3</v>
      </c>
      <c r="B63" s="3676"/>
      <c r="C63" s="1499" t="s">
        <v>1640</v>
      </c>
      <c r="D63" s="1499" t="s">
        <v>1641</v>
      </c>
      <c r="E63" s="1586">
        <v>0.5</v>
      </c>
      <c r="F63" s="1573">
        <v>80</v>
      </c>
    </row>
    <row r="64" spans="1:8" s="1569" customFormat="1" ht="36">
      <c r="A64" s="1573">
        <v>4</v>
      </c>
      <c r="B64" s="3676"/>
      <c r="C64" s="1499" t="s">
        <v>1642</v>
      </c>
      <c r="D64" s="1499" t="s">
        <v>1643</v>
      </c>
      <c r="E64" s="1586">
        <v>0.4</v>
      </c>
      <c r="F64" s="1573">
        <v>60</v>
      </c>
    </row>
    <row r="65" spans="1:6" s="1569" customFormat="1" ht="36">
      <c r="A65" s="1573">
        <v>5</v>
      </c>
      <c r="B65" s="3676"/>
      <c r="C65" s="1499" t="s">
        <v>1644</v>
      </c>
      <c r="D65" s="1499" t="s">
        <v>1645</v>
      </c>
      <c r="E65" s="1586">
        <v>0.2</v>
      </c>
      <c r="F65" s="1573">
        <v>30</v>
      </c>
    </row>
    <row r="66" spans="1:6" s="1569" customFormat="1" ht="36">
      <c r="A66" s="1573">
        <v>6</v>
      </c>
      <c r="B66" s="3676"/>
      <c r="C66" s="1499" t="s">
        <v>1646</v>
      </c>
      <c r="D66" s="1499" t="s">
        <v>1647</v>
      </c>
      <c r="E66" s="1586">
        <v>0.3</v>
      </c>
      <c r="F66" s="1573">
        <v>50</v>
      </c>
    </row>
    <row r="67" spans="1:6" s="1569" customFormat="1" ht="36">
      <c r="A67" s="1573">
        <v>7</v>
      </c>
      <c r="B67" s="3676"/>
      <c r="C67" s="1499" t="s">
        <v>1648</v>
      </c>
      <c r="D67" s="1499" t="s">
        <v>1649</v>
      </c>
      <c r="E67" s="1586">
        <v>0.2</v>
      </c>
      <c r="F67" s="1573">
        <v>30</v>
      </c>
    </row>
    <row r="68" spans="1:6" s="1569" customFormat="1" ht="36">
      <c r="A68" s="1573">
        <v>8</v>
      </c>
      <c r="B68" s="3676"/>
      <c r="C68" s="1499" t="s">
        <v>1650</v>
      </c>
      <c r="D68" s="1499" t="s">
        <v>1651</v>
      </c>
      <c r="E68" s="1586">
        <v>0.2</v>
      </c>
      <c r="F68" s="1573">
        <v>30</v>
      </c>
    </row>
    <row r="69" spans="1:6" s="1569" customFormat="1" ht="36">
      <c r="A69" s="1573">
        <v>9</v>
      </c>
      <c r="B69" s="3676"/>
      <c r="C69" s="1499" t="s">
        <v>1652</v>
      </c>
      <c r="D69" s="1499" t="s">
        <v>1653</v>
      </c>
      <c r="E69" s="1586">
        <v>0.2</v>
      </c>
      <c r="F69" s="1573">
        <v>30</v>
      </c>
    </row>
    <row r="70" spans="1:6" s="1569" customFormat="1" ht="48">
      <c r="A70" s="1573">
        <v>10</v>
      </c>
      <c r="B70" s="3676"/>
      <c r="C70" s="1499" t="s">
        <v>1654</v>
      </c>
      <c r="D70" s="1499" t="s">
        <v>1655</v>
      </c>
      <c r="E70" s="1586">
        <v>0.2</v>
      </c>
      <c r="F70" s="1573">
        <v>30</v>
      </c>
    </row>
    <row r="71" spans="1:6" s="1569" customFormat="1" ht="48">
      <c r="A71" s="1573">
        <v>11</v>
      </c>
      <c r="B71" s="3676"/>
      <c r="C71" s="1499" t="s">
        <v>1656</v>
      </c>
      <c r="D71" s="1499" t="s">
        <v>1657</v>
      </c>
      <c r="E71" s="1586">
        <v>0.2</v>
      </c>
      <c r="F71" s="1573">
        <v>30</v>
      </c>
    </row>
    <row r="72" spans="1:6" s="1569" customFormat="1" ht="36">
      <c r="A72" s="1573">
        <v>12</v>
      </c>
      <c r="B72" s="3676"/>
      <c r="C72" s="1499" t="s">
        <v>1658</v>
      </c>
      <c r="D72" s="1499" t="s">
        <v>1659</v>
      </c>
      <c r="E72" s="1586">
        <v>0.5</v>
      </c>
      <c r="F72" s="1573">
        <v>80</v>
      </c>
    </row>
    <row r="73" spans="1:6" s="1569" customFormat="1" ht="24">
      <c r="A73" s="1573">
        <v>13</v>
      </c>
      <c r="B73" s="3676"/>
      <c r="C73" s="1499" t="s">
        <v>1660</v>
      </c>
      <c r="D73" s="1499" t="s">
        <v>1661</v>
      </c>
      <c r="E73" s="1586">
        <v>0.4</v>
      </c>
      <c r="F73" s="1573">
        <v>60</v>
      </c>
    </row>
    <row r="74" spans="1:6" s="1569" customFormat="1" ht="24">
      <c r="A74" s="1573">
        <v>14</v>
      </c>
      <c r="B74" s="3676"/>
      <c r="C74" s="1499" t="s">
        <v>1662</v>
      </c>
      <c r="D74" s="1499" t="s">
        <v>1663</v>
      </c>
      <c r="E74" s="1586">
        <v>0.2</v>
      </c>
      <c r="F74" s="1573">
        <v>30</v>
      </c>
    </row>
    <row r="75" spans="1:6" s="1569" customFormat="1" ht="24">
      <c r="A75" s="1573">
        <v>15</v>
      </c>
      <c r="B75" s="3676"/>
      <c r="C75" s="1499" t="s">
        <v>1664</v>
      </c>
      <c r="D75" s="1499" t="s">
        <v>1665</v>
      </c>
      <c r="E75" s="1586">
        <v>0.2</v>
      </c>
      <c r="F75" s="1573">
        <v>30</v>
      </c>
    </row>
    <row r="76" spans="1:6" s="1569" customFormat="1" ht="24">
      <c r="A76" s="1573">
        <v>16</v>
      </c>
      <c r="B76" s="3676" t="s">
        <v>1666</v>
      </c>
      <c r="C76" s="1499" t="s">
        <v>1667</v>
      </c>
      <c r="D76" s="1499" t="s">
        <v>1668</v>
      </c>
      <c r="E76" s="1586">
        <v>0.5</v>
      </c>
      <c r="F76" s="1573">
        <v>80</v>
      </c>
    </row>
    <row r="77" spans="1:6" s="1569" customFormat="1" ht="24">
      <c r="A77" s="1573">
        <v>17</v>
      </c>
      <c r="B77" s="3676"/>
      <c r="C77" s="1499" t="s">
        <v>1669</v>
      </c>
      <c r="D77" s="1499" t="s">
        <v>1670</v>
      </c>
      <c r="E77" s="1586">
        <v>0.5</v>
      </c>
      <c r="F77" s="1573">
        <v>80</v>
      </c>
    </row>
    <row r="78" spans="1:6" s="1569" customFormat="1" ht="24">
      <c r="A78" s="1573">
        <v>18</v>
      </c>
      <c r="B78" s="3676"/>
      <c r="C78" s="1499" t="s">
        <v>1671</v>
      </c>
      <c r="D78" s="1499" t="s">
        <v>1672</v>
      </c>
      <c r="E78" s="1586">
        <v>0.2</v>
      </c>
      <c r="F78" s="1573">
        <v>30</v>
      </c>
    </row>
    <row r="79" spans="1:6" s="1569" customFormat="1" ht="24">
      <c r="A79" s="1573">
        <v>19</v>
      </c>
      <c r="B79" s="3676"/>
      <c r="C79" s="1499" t="s">
        <v>1673</v>
      </c>
      <c r="D79" s="1499" t="s">
        <v>1674</v>
      </c>
      <c r="E79" s="1586">
        <v>0.5</v>
      </c>
      <c r="F79" s="1573">
        <v>80</v>
      </c>
    </row>
    <row r="80" spans="1:6" s="1569" customFormat="1" ht="36">
      <c r="A80" s="1573">
        <v>20</v>
      </c>
      <c r="B80" s="3676"/>
      <c r="C80" s="1499" t="s">
        <v>1675</v>
      </c>
      <c r="D80" s="1499" t="s">
        <v>1676</v>
      </c>
      <c r="E80" s="1586">
        <v>0.2</v>
      </c>
      <c r="F80" s="1573">
        <v>30</v>
      </c>
    </row>
    <row r="81" spans="1:6" s="1569" customFormat="1" ht="36">
      <c r="A81" s="1573">
        <v>21</v>
      </c>
      <c r="B81" s="3676"/>
      <c r="C81" s="1499" t="s">
        <v>1677</v>
      </c>
      <c r="D81" s="1499" t="s">
        <v>1678</v>
      </c>
      <c r="E81" s="1586">
        <v>0.2</v>
      </c>
      <c r="F81" s="1573">
        <v>30</v>
      </c>
    </row>
    <row r="82" spans="1:6" s="1569" customFormat="1" ht="48">
      <c r="A82" s="1573">
        <v>22</v>
      </c>
      <c r="B82" s="3676"/>
      <c r="C82" s="1499" t="s">
        <v>1679</v>
      </c>
      <c r="D82" s="1499" t="s">
        <v>1680</v>
      </c>
      <c r="E82" s="1586">
        <v>0.2</v>
      </c>
      <c r="F82" s="1573">
        <v>30</v>
      </c>
    </row>
    <row r="83" spans="1:6" s="1569" customFormat="1" ht="48">
      <c r="A83" s="1573">
        <v>23</v>
      </c>
      <c r="B83" s="3676"/>
      <c r="C83" s="1499" t="s">
        <v>1681</v>
      </c>
      <c r="D83" s="1499" t="s">
        <v>1682</v>
      </c>
      <c r="E83" s="1586">
        <v>0.2</v>
      </c>
      <c r="F83" s="1573">
        <v>30</v>
      </c>
    </row>
    <row r="84" spans="1:6" s="1569" customFormat="1" ht="36">
      <c r="A84" s="1573">
        <v>24</v>
      </c>
      <c r="B84" s="3676"/>
      <c r="C84" s="1499" t="s">
        <v>1683</v>
      </c>
      <c r="D84" s="1499" t="s">
        <v>1684</v>
      </c>
      <c r="E84" s="1586">
        <v>0.2</v>
      </c>
      <c r="F84" s="1573">
        <v>30</v>
      </c>
    </row>
    <row r="85" spans="1:6" s="1569" customFormat="1" ht="36">
      <c r="A85" s="1573">
        <v>25</v>
      </c>
      <c r="B85" s="3676"/>
      <c r="C85" s="1499" t="s">
        <v>1685</v>
      </c>
      <c r="D85" s="1499" t="s">
        <v>1686</v>
      </c>
      <c r="E85" s="1586">
        <v>0.5</v>
      </c>
      <c r="F85" s="1573">
        <v>80</v>
      </c>
    </row>
    <row r="86" spans="1:6" s="1569" customFormat="1" ht="36">
      <c r="A86" s="1573">
        <v>26</v>
      </c>
      <c r="B86" s="3676"/>
      <c r="C86" s="1499" t="s">
        <v>1687</v>
      </c>
      <c r="D86" s="1499" t="s">
        <v>1688</v>
      </c>
      <c r="E86" s="1586">
        <v>0.2</v>
      </c>
      <c r="F86" s="1573">
        <v>30</v>
      </c>
    </row>
    <row r="87" spans="1:6" s="1569" customFormat="1" ht="36">
      <c r="A87" s="1573">
        <v>27</v>
      </c>
      <c r="B87" s="3676"/>
      <c r="C87" s="1499" t="s">
        <v>1689</v>
      </c>
      <c r="D87" s="1499" t="s">
        <v>1690</v>
      </c>
      <c r="E87" s="1586">
        <v>0.2</v>
      </c>
      <c r="F87" s="1573">
        <v>30</v>
      </c>
    </row>
    <row r="88" spans="1:6" s="1569" customFormat="1" ht="36">
      <c r="A88" s="1573">
        <v>28</v>
      </c>
      <c r="B88" s="3676"/>
      <c r="C88" s="1499" t="s">
        <v>1691</v>
      </c>
      <c r="D88" s="1499" t="s">
        <v>1692</v>
      </c>
      <c r="E88" s="1586">
        <v>0.2</v>
      </c>
      <c r="F88" s="1573">
        <v>30</v>
      </c>
    </row>
    <row r="89" spans="1:6" s="1569" customFormat="1" ht="24">
      <c r="A89" s="1573">
        <v>29</v>
      </c>
      <c r="B89" s="3676"/>
      <c r="C89" s="1499" t="s">
        <v>1693</v>
      </c>
      <c r="D89" s="1499" t="s">
        <v>1694</v>
      </c>
      <c r="E89" s="1586">
        <v>0.2</v>
      </c>
      <c r="F89" s="1573">
        <v>30</v>
      </c>
    </row>
    <row r="90" spans="1:6" s="1569" customFormat="1" ht="24">
      <c r="A90" s="1573">
        <v>30</v>
      </c>
      <c r="B90" s="3676"/>
      <c r="C90" s="1499" t="s">
        <v>1695</v>
      </c>
      <c r="D90" s="1499" t="s">
        <v>1696</v>
      </c>
      <c r="E90" s="1586">
        <v>0.2</v>
      </c>
      <c r="F90" s="1573">
        <v>30</v>
      </c>
    </row>
    <row r="91" spans="1:6" s="1569" customFormat="1" ht="36">
      <c r="A91" s="1573">
        <v>31</v>
      </c>
      <c r="B91" s="3676"/>
      <c r="C91" s="1499" t="s">
        <v>1697</v>
      </c>
      <c r="D91" s="1499" t="s">
        <v>1698</v>
      </c>
      <c r="E91" s="1586">
        <v>0.2</v>
      </c>
      <c r="F91" s="1573">
        <v>30</v>
      </c>
    </row>
    <row r="92" spans="1:6" s="1569" customFormat="1" ht="24">
      <c r="A92" s="1573">
        <v>32</v>
      </c>
      <c r="B92" s="3676" t="s">
        <v>1699</v>
      </c>
      <c r="C92" s="1573" t="s">
        <v>1700</v>
      </c>
      <c r="D92" s="1499" t="s">
        <v>1701</v>
      </c>
      <c r="E92" s="1586">
        <v>0.2</v>
      </c>
      <c r="F92" s="1573">
        <v>30</v>
      </c>
    </row>
    <row r="93" spans="1:6" s="1569" customFormat="1" ht="36">
      <c r="A93" s="1573">
        <v>33</v>
      </c>
      <c r="B93" s="3676"/>
      <c r="C93" s="1573" t="s">
        <v>1702</v>
      </c>
      <c r="D93" s="1499" t="s">
        <v>1703</v>
      </c>
      <c r="E93" s="1586">
        <v>0.2</v>
      </c>
      <c r="F93" s="1573">
        <v>30</v>
      </c>
    </row>
    <row r="94" spans="1:6" s="1569" customFormat="1" ht="48">
      <c r="A94" s="1573">
        <v>34</v>
      </c>
      <c r="B94" s="3676"/>
      <c r="C94" s="1573" t="s">
        <v>1704</v>
      </c>
      <c r="D94" s="1499" t="s">
        <v>1705</v>
      </c>
      <c r="E94" s="1586">
        <v>0.2</v>
      </c>
      <c r="F94" s="1573">
        <v>30</v>
      </c>
    </row>
    <row r="95" spans="1:6" s="1569" customFormat="1" ht="36">
      <c r="A95" s="1573">
        <v>35</v>
      </c>
      <c r="B95" s="3676"/>
      <c r="C95" s="1573" t="s">
        <v>1706</v>
      </c>
      <c r="D95" s="1499" t="s">
        <v>1707</v>
      </c>
      <c r="E95" s="1586">
        <v>0.2</v>
      </c>
      <c r="F95" s="1573">
        <v>30</v>
      </c>
    </row>
    <row r="96" spans="1:6" s="1569" customFormat="1" ht="48">
      <c r="A96" s="1573">
        <v>36</v>
      </c>
      <c r="B96" s="3676"/>
      <c r="C96" s="1499" t="s">
        <v>1708</v>
      </c>
      <c r="D96" s="1499" t="s">
        <v>1709</v>
      </c>
      <c r="E96" s="1586">
        <v>0.2</v>
      </c>
      <c r="F96" s="1573">
        <v>30</v>
      </c>
    </row>
    <row r="97" spans="1:6" s="1569" customFormat="1" ht="36">
      <c r="A97" s="1573">
        <v>37</v>
      </c>
      <c r="B97" s="3676"/>
      <c r="C97" s="1573" t="s">
        <v>1710</v>
      </c>
      <c r="D97" s="1499" t="s">
        <v>1711</v>
      </c>
      <c r="E97" s="1586">
        <v>0.2</v>
      </c>
      <c r="F97" s="1573">
        <v>30</v>
      </c>
    </row>
    <row r="98" spans="1:6" s="1569" customFormat="1" ht="36">
      <c r="A98" s="1573">
        <v>38</v>
      </c>
      <c r="B98" s="3676"/>
      <c r="C98" s="1573" t="s">
        <v>1712</v>
      </c>
      <c r="D98" s="1499" t="s">
        <v>1713</v>
      </c>
      <c r="E98" s="1586">
        <v>0.2</v>
      </c>
      <c r="F98" s="1573">
        <v>30</v>
      </c>
    </row>
    <row r="99" spans="1:6" s="1569" customFormat="1" ht="36">
      <c r="A99" s="1573">
        <v>39</v>
      </c>
      <c r="B99" s="3676" t="s">
        <v>1714</v>
      </c>
      <c r="C99" s="1573" t="s">
        <v>1715</v>
      </c>
      <c r="D99" s="1499" t="s">
        <v>1716</v>
      </c>
      <c r="E99" s="1586">
        <v>0.3</v>
      </c>
      <c r="F99" s="1573">
        <v>50</v>
      </c>
    </row>
    <row r="100" spans="1:6" s="1569" customFormat="1" ht="24">
      <c r="A100" s="1573">
        <v>40</v>
      </c>
      <c r="B100" s="3676"/>
      <c r="C100" s="1573" t="s">
        <v>1717</v>
      </c>
      <c r="D100" s="1499" t="s">
        <v>1718</v>
      </c>
      <c r="E100" s="1586">
        <v>0.2</v>
      </c>
      <c r="F100" s="1573">
        <v>30</v>
      </c>
    </row>
    <row r="101" spans="1:6" s="1569" customFormat="1" ht="36">
      <c r="A101" s="1573">
        <v>41</v>
      </c>
      <c r="B101" s="3676"/>
      <c r="C101" s="1573" t="s">
        <v>1719</v>
      </c>
      <c r="D101" s="1499" t="s">
        <v>1716</v>
      </c>
      <c r="E101" s="1586">
        <v>0.2</v>
      </c>
      <c r="F101" s="1573">
        <v>30</v>
      </c>
    </row>
    <row r="102" spans="1:6" s="1569" customFormat="1" ht="48">
      <c r="A102" s="1573">
        <v>42</v>
      </c>
      <c r="B102" s="1573" t="s">
        <v>1720</v>
      </c>
      <c r="C102" s="1499" t="s">
        <v>1721</v>
      </c>
      <c r="D102" s="1499" t="s">
        <v>1722</v>
      </c>
      <c r="E102" s="1586">
        <v>0.2</v>
      </c>
      <c r="F102" s="1573">
        <v>30</v>
      </c>
    </row>
    <row r="103" spans="1:6" s="1569" customFormat="1" ht="24">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36">
      <c r="A105" s="1573">
        <v>45</v>
      </c>
      <c r="B105" s="3676" t="s">
        <v>1729</v>
      </c>
      <c r="C105" s="1573" t="s">
        <v>1730</v>
      </c>
      <c r="D105" s="1499" t="s">
        <v>1731</v>
      </c>
      <c r="E105" s="1586">
        <v>0.2</v>
      </c>
      <c r="F105" s="1573">
        <v>30</v>
      </c>
    </row>
    <row r="106" spans="1:6" s="1569" customFormat="1" ht="36">
      <c r="A106" s="1573">
        <v>46</v>
      </c>
      <c r="B106" s="3676"/>
      <c r="C106" s="1573" t="s">
        <v>1732</v>
      </c>
      <c r="D106" s="1499" t="s">
        <v>1733</v>
      </c>
      <c r="E106" s="1586">
        <v>0.2</v>
      </c>
      <c r="F106" s="1573">
        <v>30</v>
      </c>
    </row>
    <row r="107" spans="1:6" s="1569" customFormat="1" ht="36">
      <c r="A107" s="1573">
        <v>47</v>
      </c>
      <c r="B107" s="3676" t="s">
        <v>1734</v>
      </c>
      <c r="C107" s="1573" t="s">
        <v>1735</v>
      </c>
      <c r="D107" s="1499" t="s">
        <v>1736</v>
      </c>
      <c r="E107" s="1586">
        <v>0.3</v>
      </c>
      <c r="F107" s="1573">
        <v>50</v>
      </c>
    </row>
    <row r="108" spans="1:6" s="1569" customFormat="1" ht="36">
      <c r="A108" s="1573">
        <v>48</v>
      </c>
      <c r="B108" s="3676"/>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36">
      <c r="A110" s="1573">
        <v>50</v>
      </c>
      <c r="B110" s="1573" t="s">
        <v>1742</v>
      </c>
      <c r="C110" s="1573" t="s">
        <v>1743</v>
      </c>
      <c r="D110" s="1499" t="s">
        <v>1744</v>
      </c>
      <c r="E110" s="1586">
        <v>0.2</v>
      </c>
      <c r="F110" s="1573">
        <v>30</v>
      </c>
    </row>
    <row r="111" spans="1:6" s="1569" customFormat="1" ht="36">
      <c r="A111" s="1573">
        <v>51</v>
      </c>
      <c r="B111" s="3676" t="s">
        <v>1745</v>
      </c>
      <c r="C111" s="1573" t="s">
        <v>1746</v>
      </c>
      <c r="D111" s="1499" t="s">
        <v>1747</v>
      </c>
      <c r="E111" s="1586">
        <v>0.2</v>
      </c>
      <c r="F111" s="1573">
        <v>30</v>
      </c>
    </row>
    <row r="112" spans="1:6" s="1569" customFormat="1" ht="24">
      <c r="A112" s="1573">
        <v>52</v>
      </c>
      <c r="B112" s="3676"/>
      <c r="C112" s="1573" t="s">
        <v>1748</v>
      </c>
      <c r="D112" s="1499" t="s">
        <v>1749</v>
      </c>
      <c r="E112" s="1586">
        <v>0.2</v>
      </c>
      <c r="F112" s="1573">
        <v>30</v>
      </c>
    </row>
    <row r="113" spans="1:6" s="1569" customFormat="1" ht="24">
      <c r="A113" s="1573">
        <v>53</v>
      </c>
      <c r="B113" s="3676"/>
      <c r="C113" s="1573" t="s">
        <v>1750</v>
      </c>
      <c r="D113" s="1499" t="s">
        <v>1751</v>
      </c>
      <c r="E113" s="1586">
        <v>0.2</v>
      </c>
      <c r="F113" s="1573">
        <v>30</v>
      </c>
    </row>
    <row r="114" spans="1:6" ht="36">
      <c r="A114" s="1573">
        <v>54</v>
      </c>
      <c r="B114" s="1573" t="s">
        <v>1752</v>
      </c>
      <c r="C114" s="1573" t="s">
        <v>1753</v>
      </c>
      <c r="D114" s="1499" t="s">
        <v>1754</v>
      </c>
      <c r="E114" s="1586">
        <v>0.2</v>
      </c>
      <c r="F114" s="1573">
        <v>30</v>
      </c>
    </row>
    <row r="115" spans="1:6" ht="24">
      <c r="A115" s="1573">
        <v>55</v>
      </c>
      <c r="B115" s="1573" t="s">
        <v>1755</v>
      </c>
      <c r="C115" s="1573" t="s">
        <v>1756</v>
      </c>
      <c r="D115" s="1499" t="s">
        <v>1757</v>
      </c>
      <c r="E115" s="1586">
        <v>0.2</v>
      </c>
      <c r="F115" s="1573">
        <v>30</v>
      </c>
    </row>
    <row r="116" spans="1:6" ht="24">
      <c r="A116" s="1573">
        <v>56</v>
      </c>
      <c r="B116" s="3676" t="s">
        <v>1758</v>
      </c>
      <c r="C116" s="1573" t="s">
        <v>1759</v>
      </c>
      <c r="D116" s="1499" t="s">
        <v>1760</v>
      </c>
      <c r="E116" s="1586">
        <v>0.2</v>
      </c>
      <c r="F116" s="1573">
        <v>30</v>
      </c>
    </row>
    <row r="117" spans="1:6" ht="36">
      <c r="A117" s="1573">
        <v>57</v>
      </c>
      <c r="B117" s="3676"/>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3.5">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1782</v>
      </c>
      <c r="B103" s="1597"/>
      <c r="C103" s="1597"/>
      <c r="D103" s="1597"/>
      <c r="E103" s="1597"/>
      <c r="F103" s="1597"/>
      <c r="G103" s="1597"/>
      <c r="H103" s="1597"/>
      <c r="I103" s="1597"/>
      <c r="J103" s="1597"/>
      <c r="K103" s="1597"/>
      <c r="L103" s="1597"/>
      <c r="M103" s="1597"/>
      <c r="N103" s="1597"/>
    </row>
    <row r="104" spans="1:14" ht="14.25">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f>SUMPRODUCT((A105:A204=ROUNDDOWN(基准地价修正!G3,1))*(B104:M104=基准地价修正!G2)*(B105:M204))</f>
        <v>0</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96" t="s">
        <v>2726</v>
      </c>
      <c r="C1" s="3696"/>
      <c r="D1" s="3696"/>
      <c r="E1" s="3696"/>
      <c r="F1" s="3696"/>
      <c r="G1" s="3692" t="s">
        <v>2727</v>
      </c>
      <c r="H1" s="3692"/>
      <c r="I1" s="3692"/>
      <c r="J1" s="3692"/>
      <c r="K1" s="3692"/>
      <c r="L1" s="3692"/>
      <c r="N1" s="3692" t="s">
        <v>2728</v>
      </c>
      <c r="O1" s="3692"/>
      <c r="P1" s="3692"/>
      <c r="Q1" s="3692"/>
      <c r="R1" s="2905"/>
      <c r="S1" s="3692" t="s">
        <v>2729</v>
      </c>
      <c r="T1" s="3692"/>
      <c r="U1" s="3692"/>
      <c r="V1" s="3692"/>
      <c r="X1" s="3691" t="s">
        <v>2730</v>
      </c>
      <c r="Y1" s="3692"/>
      <c r="Z1" s="3692"/>
      <c r="AA1" s="3692"/>
      <c r="AB1" s="3692"/>
      <c r="AD1" s="3691" t="s">
        <v>2731</v>
      </c>
      <c r="AE1" s="3692"/>
      <c r="AF1" s="3692"/>
      <c r="AG1" s="3692"/>
      <c r="AH1" s="3692"/>
    </row>
    <row r="2" spans="1:34" s="2906" customFormat="1" ht="14.25" thickBot="1">
      <c r="B2" s="2907" t="s">
        <v>2732</v>
      </c>
      <c r="C2" s="2907" t="s">
        <v>2733</v>
      </c>
      <c r="D2" s="2908" t="s">
        <v>2734</v>
      </c>
      <c r="E2" s="2908" t="s">
        <v>2735</v>
      </c>
      <c r="F2" s="2907" t="s">
        <v>2736</v>
      </c>
      <c r="G2" s="2909"/>
      <c r="H2" s="2910"/>
      <c r="I2" s="2910"/>
      <c r="J2" s="2910"/>
      <c r="K2" s="2910"/>
      <c r="L2" s="2910"/>
      <c r="N2" s="2909"/>
      <c r="O2" s="2910"/>
      <c r="P2" s="2910"/>
      <c r="Q2" s="2910"/>
      <c r="R2" s="2911"/>
      <c r="S2" s="2909"/>
      <c r="T2" s="2910"/>
      <c r="U2" s="2910"/>
      <c r="V2" s="2910"/>
      <c r="X2" s="2907" t="s">
        <v>2732</v>
      </c>
      <c r="Y2" s="2907" t="s">
        <v>2733</v>
      </c>
      <c r="Z2" s="2908" t="s">
        <v>2734</v>
      </c>
      <c r="AA2" s="2908" t="s">
        <v>2735</v>
      </c>
      <c r="AB2" s="2907" t="s">
        <v>2736</v>
      </c>
      <c r="AD2" s="2907" t="s">
        <v>2732</v>
      </c>
      <c r="AE2" s="2907" t="s">
        <v>2733</v>
      </c>
      <c r="AF2" s="2908" t="s">
        <v>2734</v>
      </c>
      <c r="AG2" s="2908" t="s">
        <v>2735</v>
      </c>
      <c r="AH2" s="2907" t="s">
        <v>2736</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2737</v>
      </c>
      <c r="B4" s="2921"/>
      <c r="C4" s="2921"/>
      <c r="D4" s="2921"/>
      <c r="E4" s="2921"/>
      <c r="F4" s="2921"/>
      <c r="G4" s="3697">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2738</v>
      </c>
      <c r="B5" s="2921"/>
      <c r="C5" s="2921"/>
      <c r="D5" s="2921"/>
      <c r="E5" s="2921"/>
      <c r="F5" s="2921"/>
      <c r="G5" s="3694"/>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5" customFormat="1">
      <c r="A6" s="3243" t="s">
        <v>2739</v>
      </c>
      <c r="B6" s="2927">
        <f>B7*(1+N6)</f>
        <v>415.21602360000003</v>
      </c>
      <c r="C6" s="2927">
        <f>C7*(1+O6)</f>
        <v>312.63083488000001</v>
      </c>
      <c r="D6" s="2927">
        <f>C6</f>
        <v>312.63083488000001</v>
      </c>
      <c r="E6" s="3237">
        <f>E7*(1+P6)</f>
        <v>589.96402416000001</v>
      </c>
      <c r="F6" s="3237">
        <f>F7*(1+Q6)</f>
        <v>273.82351752000005</v>
      </c>
      <c r="G6" s="3694"/>
      <c r="H6" s="3244">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6"/>
      <c r="S6" s="3247"/>
      <c r="T6" s="3246"/>
      <c r="U6" s="3246"/>
      <c r="V6" s="3246"/>
      <c r="W6" s="2931" t="s">
        <v>2741</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2740</v>
      </c>
      <c r="B7" s="2941">
        <f>B8*(1+N7)</f>
        <v>405.524</v>
      </c>
      <c r="C7" s="2941">
        <f>C8*(1+O7)</f>
        <v>307.79840000000002</v>
      </c>
      <c r="D7" s="2941">
        <f>C7</f>
        <v>307.79840000000002</v>
      </c>
      <c r="E7" s="2941">
        <f>E8*(1+P7)</f>
        <v>574.67759999999998</v>
      </c>
      <c r="F7" s="2941">
        <f>F8*(1+Q7)</f>
        <v>270.20280000000002</v>
      </c>
      <c r="G7" s="3695"/>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1167</v>
      </c>
      <c r="B8" s="2933">
        <v>392</v>
      </c>
      <c r="C8" s="2933">
        <v>302</v>
      </c>
      <c r="D8" s="2933">
        <f>C8</f>
        <v>302</v>
      </c>
      <c r="E8" s="2933">
        <v>553</v>
      </c>
      <c r="F8" s="2934">
        <v>266</v>
      </c>
      <c r="G8" s="3697">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1166</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94"/>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1156</v>
      </c>
      <c r="B10" s="2941">
        <f t="shared" si="8"/>
        <v>360.06949782209392</v>
      </c>
      <c r="C10" s="2941">
        <f t="shared" si="8"/>
        <v>289.84672674747821</v>
      </c>
      <c r="D10" s="2941">
        <f t="shared" si="9"/>
        <v>289.84672674747821</v>
      </c>
      <c r="E10" s="2941">
        <f t="shared" si="10"/>
        <v>501.06543001181495</v>
      </c>
      <c r="F10" s="2941">
        <f t="shared" si="10"/>
        <v>256.82882500744967</v>
      </c>
      <c r="G10" s="3694"/>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1165</v>
      </c>
      <c r="B11" s="2941">
        <f t="shared" si="8"/>
        <v>346.720748986128</v>
      </c>
      <c r="C11" s="2941">
        <f t="shared" si="8"/>
        <v>284.30282172386285</v>
      </c>
      <c r="D11" s="2941">
        <f t="shared" si="9"/>
        <v>284.30282172386285</v>
      </c>
      <c r="E11" s="2941">
        <f t="shared" si="10"/>
        <v>479.58023546306947</v>
      </c>
      <c r="F11" s="2941">
        <f t="shared" si="10"/>
        <v>253.25788877571213</v>
      </c>
      <c r="G11" s="3695"/>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1164</v>
      </c>
      <c r="B12" s="2933">
        <v>333</v>
      </c>
      <c r="C12" s="2933">
        <v>277</v>
      </c>
      <c r="D12" s="2933">
        <f t="shared" si="9"/>
        <v>277</v>
      </c>
      <c r="E12" s="2933">
        <v>459</v>
      </c>
      <c r="F12" s="2934">
        <v>249</v>
      </c>
      <c r="G12" s="3693">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1163</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94"/>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1162</v>
      </c>
      <c r="B14" s="2941">
        <f t="shared" si="12"/>
        <v>322.34053690220776</v>
      </c>
      <c r="C14" s="2941">
        <f t="shared" si="12"/>
        <v>271.46160770422546</v>
      </c>
      <c r="D14" s="2941">
        <f t="shared" si="9"/>
        <v>271.46160770422546</v>
      </c>
      <c r="E14" s="2941">
        <f t="shared" si="13"/>
        <v>442.69434542172456</v>
      </c>
      <c r="F14" s="2941">
        <f t="shared" si="13"/>
        <v>241.34030753190925</v>
      </c>
      <c r="G14" s="3694"/>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1161</v>
      </c>
      <c r="B15" s="2941">
        <f t="shared" si="12"/>
        <v>319.87748030386797</v>
      </c>
      <c r="C15" s="2941">
        <f t="shared" si="12"/>
        <v>269.60135833173649</v>
      </c>
      <c r="D15" s="2941">
        <f t="shared" si="9"/>
        <v>269.60135833173649</v>
      </c>
      <c r="E15" s="2941">
        <f t="shared" si="13"/>
        <v>439.18089823583784</v>
      </c>
      <c r="F15" s="2941">
        <f t="shared" si="13"/>
        <v>239.23503918706311</v>
      </c>
      <c r="G15" s="3695"/>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1160</v>
      </c>
      <c r="B16" s="2954">
        <v>318</v>
      </c>
      <c r="C16" s="2954">
        <v>268</v>
      </c>
      <c r="D16" s="2954">
        <f t="shared" si="9"/>
        <v>268</v>
      </c>
      <c r="E16" s="2954">
        <v>437</v>
      </c>
      <c r="F16" s="2955">
        <v>237</v>
      </c>
      <c r="G16" s="3693">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1159</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94"/>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1158</v>
      </c>
      <c r="B18" s="2941">
        <f t="shared" si="14"/>
        <v>314.72141172386546</v>
      </c>
      <c r="C18" s="2941">
        <f t="shared" si="14"/>
        <v>263.03901319069001</v>
      </c>
      <c r="D18" s="2941">
        <f t="shared" si="9"/>
        <v>263.03901319069001</v>
      </c>
      <c r="E18" s="2941">
        <f t="shared" si="15"/>
        <v>433.65745506782821</v>
      </c>
      <c r="F18" s="2941">
        <f t="shared" si="15"/>
        <v>233.23005080045735</v>
      </c>
      <c r="G18" s="3694"/>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1157</v>
      </c>
      <c r="B19" s="2959">
        <f t="shared" si="14"/>
        <v>307.34512863658733</v>
      </c>
      <c r="C19" s="2959">
        <f t="shared" si="14"/>
        <v>257.80556031626975</v>
      </c>
      <c r="D19" s="2959">
        <f t="shared" si="9"/>
        <v>257.80556031626975</v>
      </c>
      <c r="E19" s="2959">
        <f t="shared" si="15"/>
        <v>422.70928459677179</v>
      </c>
      <c r="F19" s="2959">
        <f t="shared" si="15"/>
        <v>229.73803270336617</v>
      </c>
      <c r="G19" s="3695"/>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2742</v>
      </c>
      <c r="X19" s="2969">
        <v>1</v>
      </c>
      <c r="Y19" s="2969">
        <v>1</v>
      </c>
      <c r="Z19" s="2969">
        <v>1</v>
      </c>
      <c r="AA19" s="2969">
        <v>1</v>
      </c>
      <c r="AB19" s="2969">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20" t="s">
        <v>2743</v>
      </c>
      <c r="B20" s="2933">
        <v>299</v>
      </c>
      <c r="C20" s="2933">
        <v>252</v>
      </c>
      <c r="D20" s="2933">
        <f t="shared" si="9"/>
        <v>252</v>
      </c>
      <c r="E20" s="2933">
        <v>409</v>
      </c>
      <c r="F20" s="2934">
        <v>227</v>
      </c>
      <c r="G20" s="3698">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2744</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699"/>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2745</v>
      </c>
      <c r="B22" s="2941">
        <f t="shared" si="18"/>
        <v>288.2649053828776</v>
      </c>
      <c r="C22" s="2941">
        <f t="shared" si="18"/>
        <v>243.64564425013293</v>
      </c>
      <c r="D22" s="2941">
        <f t="shared" si="9"/>
        <v>243.64564425013293</v>
      </c>
      <c r="E22" s="2941">
        <f t="shared" si="19"/>
        <v>393.31080825986544</v>
      </c>
      <c r="F22" s="2941">
        <f t="shared" si="19"/>
        <v>223.07903790551154</v>
      </c>
      <c r="G22" s="3699"/>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2746</v>
      </c>
      <c r="B23" s="2941">
        <f t="shared" si="18"/>
        <v>282.50186729015837</v>
      </c>
      <c r="C23" s="2941">
        <f t="shared" si="18"/>
        <v>238.09796174155468</v>
      </c>
      <c r="D23" s="2941">
        <f t="shared" si="9"/>
        <v>238.09796174155468</v>
      </c>
      <c r="E23" s="2941">
        <f t="shared" si="19"/>
        <v>385.33438646014054</v>
      </c>
      <c r="F23" s="2941">
        <f t="shared" si="19"/>
        <v>221.55034055567739</v>
      </c>
      <c r="G23" s="3700"/>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2747</v>
      </c>
      <c r="B24" s="2975">
        <v>278</v>
      </c>
      <c r="C24" s="2975">
        <v>234</v>
      </c>
      <c r="D24" s="2975">
        <f t="shared" si="9"/>
        <v>234</v>
      </c>
      <c r="E24" s="2975">
        <v>379</v>
      </c>
      <c r="F24" s="2976">
        <v>220</v>
      </c>
      <c r="G24" s="3693">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2748</v>
      </c>
      <c r="B25" s="2941">
        <f>B24/(1+N24)</f>
        <v>275.49301357645425</v>
      </c>
      <c r="C25" s="2941">
        <f>C24/(1+O24)</f>
        <v>232.41954707985698</v>
      </c>
      <c r="D25" s="2941">
        <f t="shared" si="9"/>
        <v>232.41954707985698</v>
      </c>
      <c r="E25" s="2941">
        <f t="shared" ref="E25:F27" si="20">E24/(1+P24)</f>
        <v>375.32184591008121</v>
      </c>
      <c r="F25" s="2941">
        <f t="shared" si="20"/>
        <v>218.03766105054513</v>
      </c>
      <c r="G25" s="3694"/>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2749</v>
      </c>
      <c r="B26" s="2941">
        <f>B25/(1+N25)</f>
        <v>275.24529281292263</v>
      </c>
      <c r="C26" s="2941">
        <f>C25/(1+O25)</f>
        <v>231.74747938962707</v>
      </c>
      <c r="D26" s="2941">
        <f t="shared" si="9"/>
        <v>231.74747938962707</v>
      </c>
      <c r="E26" s="2941">
        <f t="shared" si="20"/>
        <v>375.35938184826603</v>
      </c>
      <c r="F26" s="2941">
        <f t="shared" si="20"/>
        <v>216.78033510692495</v>
      </c>
      <c r="G26" s="3694"/>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2750</v>
      </c>
      <c r="B27" s="2941">
        <f>B26/(1+N26)</f>
        <v>275.19025476197027</v>
      </c>
      <c r="C27" s="2977">
        <v>232</v>
      </c>
      <c r="D27" s="2977">
        <f t="shared" si="9"/>
        <v>232</v>
      </c>
      <c r="E27" s="2941">
        <f t="shared" si="20"/>
        <v>375.65990977608692</v>
      </c>
      <c r="F27" s="2941">
        <f t="shared" si="20"/>
        <v>214.12518283971252</v>
      </c>
      <c r="G27" s="3695"/>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2751</v>
      </c>
      <c r="B28" s="2933">
        <v>275</v>
      </c>
      <c r="C28" s="2933">
        <v>232</v>
      </c>
      <c r="D28" s="2933">
        <f t="shared" si="9"/>
        <v>232</v>
      </c>
      <c r="E28" s="2933">
        <v>376</v>
      </c>
      <c r="F28" s="2934">
        <v>213</v>
      </c>
      <c r="G28" s="3693">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2752</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94">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2753</v>
      </c>
      <c r="B30" s="2941">
        <f t="shared" si="21"/>
        <v>275.19335084830601</v>
      </c>
      <c r="C30" s="2941">
        <f t="shared" si="21"/>
        <v>230.18088050139744</v>
      </c>
      <c r="D30" s="2941">
        <f t="shared" si="9"/>
        <v>230.18088050139744</v>
      </c>
      <c r="E30" s="2941">
        <f t="shared" si="22"/>
        <v>377.58482925212331</v>
      </c>
      <c r="F30" s="2941">
        <f t="shared" si="22"/>
        <v>210.90687997847917</v>
      </c>
      <c r="G30" s="3694">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2754</v>
      </c>
      <c r="B31" s="2941">
        <f t="shared" si="21"/>
        <v>276.29854502841971</v>
      </c>
      <c r="C31" s="2941">
        <f t="shared" si="21"/>
        <v>229.79023709833027</v>
      </c>
      <c r="D31" s="2941">
        <f t="shared" si="9"/>
        <v>229.79023709833027</v>
      </c>
      <c r="E31" s="2941">
        <f t="shared" si="22"/>
        <v>379.78759731655936</v>
      </c>
      <c r="F31" s="2941">
        <f t="shared" si="22"/>
        <v>211.32953905659235</v>
      </c>
      <c r="G31" s="3695">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2755</v>
      </c>
      <c r="B32" s="2933">
        <v>269</v>
      </c>
      <c r="C32" s="2933">
        <v>221</v>
      </c>
      <c r="D32" s="2933">
        <f t="shared" si="9"/>
        <v>221</v>
      </c>
      <c r="E32" s="2933">
        <v>373</v>
      </c>
      <c r="F32" s="2934">
        <v>196</v>
      </c>
      <c r="G32" s="3693">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2756</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94">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2757</v>
      </c>
      <c r="B34" s="2941">
        <f t="shared" si="23"/>
        <v>242.95398227588385</v>
      </c>
      <c r="C34" s="2941">
        <f t="shared" si="23"/>
        <v>199.59137053614126</v>
      </c>
      <c r="D34" s="2941">
        <f t="shared" si="9"/>
        <v>199.59137053614126</v>
      </c>
      <c r="E34" s="2941">
        <f t="shared" si="24"/>
        <v>335.92189522342125</v>
      </c>
      <c r="F34" s="2941">
        <f t="shared" si="24"/>
        <v>183.10139991109489</v>
      </c>
      <c r="G34" s="3694">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2758</v>
      </c>
      <c r="B35" s="2941">
        <f t="shared" si="23"/>
        <v>232.06990378821649</v>
      </c>
      <c r="C35" s="2941">
        <f t="shared" si="23"/>
        <v>192.74878854286936</v>
      </c>
      <c r="D35" s="2941">
        <f t="shared" si="9"/>
        <v>192.74878854286936</v>
      </c>
      <c r="E35" s="2941">
        <f t="shared" si="24"/>
        <v>319.71247284992984</v>
      </c>
      <c r="F35" s="2941">
        <f t="shared" si="24"/>
        <v>175.67053622862409</v>
      </c>
      <c r="G35" s="3695">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2759</v>
      </c>
      <c r="B36" s="2933">
        <v>220</v>
      </c>
      <c r="C36" s="2933">
        <v>187</v>
      </c>
      <c r="D36" s="2933">
        <f t="shared" si="9"/>
        <v>187</v>
      </c>
      <c r="E36" s="2933">
        <v>301</v>
      </c>
      <c r="F36" s="2934">
        <v>168</v>
      </c>
      <c r="G36" s="3693">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2760</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94">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2761</v>
      </c>
      <c r="B38" s="2941">
        <f t="shared" si="25"/>
        <v>210.630522469011</v>
      </c>
      <c r="C38" s="2941">
        <f t="shared" si="25"/>
        <v>181.69567812247232</v>
      </c>
      <c r="D38" s="2941">
        <f t="shared" si="9"/>
        <v>181.69567812247232</v>
      </c>
      <c r="E38" s="2941">
        <f t="shared" si="26"/>
        <v>286.13517466736738</v>
      </c>
      <c r="F38" s="2941">
        <f t="shared" si="26"/>
        <v>165.47535084591149</v>
      </c>
      <c r="G38" s="3694">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2762</v>
      </c>
      <c r="B39" s="2941">
        <f t="shared" si="25"/>
        <v>208.83454537875372</v>
      </c>
      <c r="C39" s="2941">
        <f t="shared" si="25"/>
        <v>183.77230517090351</v>
      </c>
      <c r="D39" s="2941">
        <f t="shared" si="9"/>
        <v>183.77230517090351</v>
      </c>
      <c r="E39" s="2941">
        <f t="shared" si="26"/>
        <v>281.10342338870947</v>
      </c>
      <c r="F39" s="2941">
        <f t="shared" si="26"/>
        <v>168.97309388942256</v>
      </c>
      <c r="G39" s="3695">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2763</v>
      </c>
      <c r="B40" s="2975">
        <v>214</v>
      </c>
      <c r="C40" s="2975">
        <v>188</v>
      </c>
      <c r="D40" s="2975">
        <f t="shared" si="9"/>
        <v>188</v>
      </c>
      <c r="E40" s="2975">
        <v>289</v>
      </c>
      <c r="F40" s="2976">
        <v>166</v>
      </c>
      <c r="G40" s="3693">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2764</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94">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2765</v>
      </c>
      <c r="B42" s="2941">
        <f t="shared" si="27"/>
        <v>206.31694671589116</v>
      </c>
      <c r="C42" s="2941">
        <f t="shared" si="27"/>
        <v>183.61041121036101</v>
      </c>
      <c r="D42" s="2941">
        <f t="shared" si="9"/>
        <v>183.61041121036101</v>
      </c>
      <c r="E42" s="2941">
        <f t="shared" si="28"/>
        <v>276.66850301795557</v>
      </c>
      <c r="F42" s="2941">
        <f t="shared" si="28"/>
        <v>165.1360938278614</v>
      </c>
      <c r="G42" s="3694">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2766</v>
      </c>
      <c r="B43" s="2978">
        <f t="shared" si="27"/>
        <v>196.62341248059772</v>
      </c>
      <c r="C43" s="2978">
        <f t="shared" si="27"/>
        <v>170.99125648199012</v>
      </c>
      <c r="D43" s="2978">
        <f t="shared" si="9"/>
        <v>170.99125648199012</v>
      </c>
      <c r="E43" s="2978">
        <f t="shared" si="28"/>
        <v>266.07857570490052</v>
      </c>
      <c r="F43" s="2978">
        <f t="shared" si="28"/>
        <v>154.53499328828505</v>
      </c>
      <c r="G43" s="3695">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2767</v>
      </c>
      <c r="B44" s="2933">
        <v>188</v>
      </c>
      <c r="C44" s="2933">
        <v>165</v>
      </c>
      <c r="D44" s="2933">
        <f t="shared" si="9"/>
        <v>165</v>
      </c>
      <c r="E44" s="2933">
        <v>254</v>
      </c>
      <c r="F44" s="2934">
        <v>148</v>
      </c>
      <c r="G44" s="3693">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2768</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94">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2769</v>
      </c>
      <c r="B46" s="2941">
        <f t="shared" si="31"/>
        <v>168.82017748715555</v>
      </c>
      <c r="C46" s="2941">
        <f t="shared" si="31"/>
        <v>148.06267029972753</v>
      </c>
      <c r="D46" s="2941">
        <f t="shared" si="9"/>
        <v>148.06267029972753</v>
      </c>
      <c r="E46" s="2941">
        <f t="shared" si="32"/>
        <v>216.46288379323747</v>
      </c>
      <c r="F46" s="2941">
        <f t="shared" si="32"/>
        <v>134.23529411764704</v>
      </c>
      <c r="G46" s="3694">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2770</v>
      </c>
      <c r="B47" s="2941">
        <f t="shared" si="31"/>
        <v>163.84913591779542</v>
      </c>
      <c r="C47" s="2941">
        <f t="shared" si="31"/>
        <v>145.0283378746594</v>
      </c>
      <c r="D47" s="2941">
        <f t="shared" si="9"/>
        <v>145.0283378746594</v>
      </c>
      <c r="E47" s="2941">
        <f t="shared" si="32"/>
        <v>204.95180722891567</v>
      </c>
      <c r="F47" s="2941">
        <f t="shared" si="32"/>
        <v>125.95920303605313</v>
      </c>
      <c r="G47" s="3695">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2771</v>
      </c>
      <c r="B48" s="2954">
        <v>159</v>
      </c>
      <c r="C48" s="2954">
        <v>141</v>
      </c>
      <c r="D48" s="2954">
        <f t="shared" si="9"/>
        <v>141</v>
      </c>
      <c r="E48" s="2954">
        <v>195</v>
      </c>
      <c r="F48" s="2955">
        <v>122</v>
      </c>
      <c r="G48" s="3693">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2772</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94">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2773</v>
      </c>
      <c r="B50" s="2941">
        <f t="shared" si="35"/>
        <v>146.57412060301507</v>
      </c>
      <c r="C50" s="2941">
        <f t="shared" si="35"/>
        <v>136.46831955922866</v>
      </c>
      <c r="D50" s="2941">
        <f t="shared" si="9"/>
        <v>136.46831955922866</v>
      </c>
      <c r="E50" s="2941">
        <f t="shared" si="36"/>
        <v>166.73864894795128</v>
      </c>
      <c r="F50" s="2941">
        <f t="shared" si="36"/>
        <v>115.05882352941177</v>
      </c>
      <c r="G50" s="3694">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2774</v>
      </c>
      <c r="B51" s="2941">
        <f t="shared" si="35"/>
        <v>144.04145728643215</v>
      </c>
      <c r="C51" s="2941">
        <f t="shared" si="35"/>
        <v>136.12396694214877</v>
      </c>
      <c r="D51" s="2941">
        <f t="shared" si="9"/>
        <v>136.12396694214877</v>
      </c>
      <c r="E51" s="2941">
        <f t="shared" si="36"/>
        <v>158.32225913621264</v>
      </c>
      <c r="F51" s="2941">
        <f t="shared" si="36"/>
        <v>114.04278074866311</v>
      </c>
      <c r="G51" s="3695">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2775</v>
      </c>
      <c r="B52" s="2954">
        <v>138</v>
      </c>
      <c r="C52" s="2954">
        <v>131</v>
      </c>
      <c r="D52" s="2954">
        <f t="shared" si="9"/>
        <v>131</v>
      </c>
      <c r="E52" s="2954">
        <v>155</v>
      </c>
      <c r="F52" s="2955">
        <v>114</v>
      </c>
      <c r="G52" s="3693">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2776</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94">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2777</v>
      </c>
      <c r="B54" s="2941">
        <f t="shared" si="39"/>
        <v>124.29032258064517</v>
      </c>
      <c r="C54" s="2941">
        <f t="shared" si="39"/>
        <v>123.8968609865471</v>
      </c>
      <c r="D54" s="2941">
        <f t="shared" si="9"/>
        <v>123.8968609865471</v>
      </c>
      <c r="E54" s="2941">
        <f t="shared" si="40"/>
        <v>138.00507614213197</v>
      </c>
      <c r="F54" s="2941">
        <f t="shared" si="40"/>
        <v>107.96106557377048</v>
      </c>
      <c r="G54" s="3694">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2778</v>
      </c>
      <c r="B55" s="2941">
        <f t="shared" si="39"/>
        <v>122.57204301075269</v>
      </c>
      <c r="C55" s="2941">
        <f t="shared" si="39"/>
        <v>123.4932735426009</v>
      </c>
      <c r="D55" s="2941">
        <f t="shared" si="9"/>
        <v>123.4932735426009</v>
      </c>
      <c r="E55" s="2941">
        <f t="shared" si="40"/>
        <v>129.82233502538071</v>
      </c>
      <c r="F55" s="2941">
        <f t="shared" si="40"/>
        <v>107.39446721311475</v>
      </c>
      <c r="G55" s="3695">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2779</v>
      </c>
      <c r="B56" s="2975">
        <v>121</v>
      </c>
      <c r="C56" s="2975">
        <v>122</v>
      </c>
      <c r="D56" s="2975">
        <f t="shared" si="9"/>
        <v>122</v>
      </c>
      <c r="E56" s="2975">
        <v>124</v>
      </c>
      <c r="F56" s="2976">
        <v>107</v>
      </c>
      <c r="G56" s="3693">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2780</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94">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2781</v>
      </c>
      <c r="B58" s="2941">
        <f t="shared" si="43"/>
        <v>116.99099099099099</v>
      </c>
      <c r="C58" s="2941">
        <f t="shared" si="43"/>
        <v>118.84848484848486</v>
      </c>
      <c r="D58" s="2941">
        <f t="shared" si="9"/>
        <v>118.84848484848486</v>
      </c>
      <c r="E58" s="2941">
        <f t="shared" si="44"/>
        <v>117.60960960960961</v>
      </c>
      <c r="F58" s="2941">
        <f t="shared" si="44"/>
        <v>104</v>
      </c>
      <c r="G58" s="3694">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2782</v>
      </c>
      <c r="B59" s="2978">
        <f t="shared" si="43"/>
        <v>112.48648648648648</v>
      </c>
      <c r="C59" s="2978">
        <f t="shared" si="43"/>
        <v>115.21212121212122</v>
      </c>
      <c r="D59" s="2978">
        <f t="shared" si="9"/>
        <v>115.21212121212122</v>
      </c>
      <c r="E59" s="2978">
        <f t="shared" si="44"/>
        <v>110.4024024024024</v>
      </c>
      <c r="F59" s="2978">
        <f t="shared" si="44"/>
        <v>104</v>
      </c>
      <c r="G59" s="3695">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2783</v>
      </c>
      <c r="B60" s="2996">
        <v>111</v>
      </c>
      <c r="C60" s="2996">
        <v>114</v>
      </c>
      <c r="D60" s="2996">
        <f t="shared" si="9"/>
        <v>114</v>
      </c>
      <c r="E60" s="2996">
        <v>108</v>
      </c>
      <c r="F60" s="2997">
        <v>104</v>
      </c>
      <c r="G60" s="3693">
        <v>2003</v>
      </c>
      <c r="H60" s="2986">
        <v>4</v>
      </c>
      <c r="I60" s="2998"/>
      <c r="J60" s="2998"/>
      <c r="K60" s="2998"/>
      <c r="L60" s="2998"/>
      <c r="N60" s="2999"/>
      <c r="O60" s="2998"/>
      <c r="P60" s="2998"/>
      <c r="Q60" s="2998"/>
      <c r="S60" s="2999"/>
      <c r="T60" s="2998"/>
      <c r="U60" s="2998"/>
      <c r="V60" s="2998"/>
      <c r="X60" s="2990"/>
      <c r="Y60" s="2990"/>
      <c r="Z60" s="2990"/>
    </row>
    <row r="61" spans="1:26">
      <c r="A61" s="2920" t="s">
        <v>2784</v>
      </c>
      <c r="B61" s="3000">
        <f t="shared" ref="B61:C63" si="45">B62+(B$60-B$64)/4</f>
        <v>109.75</v>
      </c>
      <c r="C61" s="3000">
        <f t="shared" si="45"/>
        <v>112.25</v>
      </c>
      <c r="D61" s="3000">
        <f t="shared" si="9"/>
        <v>112.25</v>
      </c>
      <c r="E61" s="3000">
        <f t="shared" ref="E61:F63" si="46">E62+(E$60-E$64)/4</f>
        <v>107.25</v>
      </c>
      <c r="F61" s="3000">
        <f t="shared" si="46"/>
        <v>103.5</v>
      </c>
      <c r="G61" s="3694">
        <v>2003</v>
      </c>
      <c r="H61" s="2951">
        <v>3</v>
      </c>
      <c r="I61" s="2998"/>
      <c r="J61" s="2998"/>
      <c r="K61" s="2998"/>
      <c r="L61" s="2998"/>
      <c r="X61" s="2990"/>
      <c r="Y61" s="2990"/>
      <c r="Z61" s="2990"/>
    </row>
    <row r="62" spans="1:26">
      <c r="A62" s="2920" t="s">
        <v>2785</v>
      </c>
      <c r="B62" s="3000">
        <f t="shared" si="45"/>
        <v>108.5</v>
      </c>
      <c r="C62" s="3000">
        <f t="shared" si="45"/>
        <v>110.5</v>
      </c>
      <c r="D62" s="3000">
        <f t="shared" si="9"/>
        <v>110.5</v>
      </c>
      <c r="E62" s="3000">
        <f t="shared" si="46"/>
        <v>106.5</v>
      </c>
      <c r="F62" s="3000">
        <f t="shared" si="46"/>
        <v>103</v>
      </c>
      <c r="G62" s="3694">
        <v>2003</v>
      </c>
      <c r="H62" s="2926">
        <v>2</v>
      </c>
      <c r="I62" s="2998"/>
      <c r="J62" s="2998"/>
      <c r="K62" s="2998"/>
      <c r="L62" s="2998"/>
      <c r="X62" s="2990"/>
      <c r="Y62" s="2990"/>
      <c r="Z62" s="2990"/>
    </row>
    <row r="63" spans="1:26" ht="13.5" thickBot="1">
      <c r="A63" s="2920" t="s">
        <v>2786</v>
      </c>
      <c r="B63" s="3000">
        <f t="shared" si="45"/>
        <v>107.25</v>
      </c>
      <c r="C63" s="3000">
        <f t="shared" si="45"/>
        <v>108.75</v>
      </c>
      <c r="D63" s="3000">
        <f t="shared" si="9"/>
        <v>108.75</v>
      </c>
      <c r="E63" s="3000">
        <f t="shared" si="46"/>
        <v>105.75</v>
      </c>
      <c r="F63" s="3000">
        <f t="shared" si="46"/>
        <v>102.5</v>
      </c>
      <c r="G63" s="3695">
        <v>2003</v>
      </c>
      <c r="H63" s="3001">
        <v>1</v>
      </c>
      <c r="I63" s="2998"/>
      <c r="J63" s="2998"/>
      <c r="K63" s="2998"/>
      <c r="L63" s="2998"/>
      <c r="S63" s="2936"/>
      <c r="T63" s="2937"/>
      <c r="U63" s="2937"/>
      <c r="X63" s="2990"/>
      <c r="Y63" s="2990"/>
      <c r="Z63" s="2990"/>
    </row>
    <row r="64" spans="1:26" ht="13.5" thickBot="1">
      <c r="A64" s="2920" t="s">
        <v>2787</v>
      </c>
      <c r="B64" s="3002">
        <v>106</v>
      </c>
      <c r="C64" s="3002">
        <v>107</v>
      </c>
      <c r="D64" s="3002">
        <f t="shared" si="9"/>
        <v>107</v>
      </c>
      <c r="E64" s="3002">
        <v>105</v>
      </c>
      <c r="F64" s="3003">
        <v>102</v>
      </c>
      <c r="G64" s="3693">
        <v>2002</v>
      </c>
      <c r="H64" s="2946">
        <v>4</v>
      </c>
      <c r="I64" s="2998"/>
      <c r="J64" s="2998"/>
      <c r="K64" s="2998"/>
      <c r="L64" s="2998"/>
      <c r="N64" s="2999"/>
      <c r="O64" s="2998"/>
      <c r="P64" s="2998"/>
      <c r="Q64" s="2998"/>
      <c r="S64" s="2999"/>
      <c r="T64" s="2998"/>
      <c r="U64" s="2998"/>
      <c r="V64" s="2998"/>
      <c r="X64" s="2990"/>
      <c r="Y64" s="2990"/>
      <c r="Z64" s="2990"/>
    </row>
    <row r="65" spans="1:26">
      <c r="A65" s="2920" t="s">
        <v>2788</v>
      </c>
      <c r="B65" s="3000">
        <f t="shared" ref="B65:C67" si="47">B66+(B$64-B$68)/4</f>
        <v>105</v>
      </c>
      <c r="C65" s="3000">
        <f t="shared" si="47"/>
        <v>106</v>
      </c>
      <c r="D65" s="3000">
        <f t="shared" si="9"/>
        <v>106</v>
      </c>
      <c r="E65" s="3000">
        <f t="shared" ref="E65:F67" si="48">E66+(E$64-E$68)/4</f>
        <v>104.5</v>
      </c>
      <c r="F65" s="3000">
        <f t="shared" si="48"/>
        <v>101.5</v>
      </c>
      <c r="G65" s="3694">
        <v>2002</v>
      </c>
      <c r="H65" s="2951">
        <v>3</v>
      </c>
      <c r="I65" s="2998"/>
      <c r="J65" s="2998"/>
      <c r="K65" s="2998"/>
      <c r="L65" s="2998"/>
      <c r="X65" s="2990"/>
      <c r="Y65" s="2990"/>
      <c r="Z65" s="2990"/>
    </row>
    <row r="66" spans="1:26">
      <c r="A66" s="2920" t="s">
        <v>2789</v>
      </c>
      <c r="B66" s="3000">
        <f t="shared" si="47"/>
        <v>104</v>
      </c>
      <c r="C66" s="3000">
        <f t="shared" si="47"/>
        <v>105</v>
      </c>
      <c r="D66" s="3000">
        <f t="shared" si="9"/>
        <v>105</v>
      </c>
      <c r="E66" s="3000">
        <f t="shared" si="48"/>
        <v>104</v>
      </c>
      <c r="F66" s="3000">
        <f t="shared" si="48"/>
        <v>101</v>
      </c>
      <c r="G66" s="3694">
        <v>2002</v>
      </c>
      <c r="H66" s="2926">
        <v>2</v>
      </c>
      <c r="I66" s="2998"/>
      <c r="J66" s="2998"/>
      <c r="K66" s="2998"/>
      <c r="L66" s="2998"/>
      <c r="X66" s="2990"/>
      <c r="Y66" s="2990"/>
      <c r="Z66" s="2990"/>
    </row>
    <row r="67" spans="1:26" s="2962" customFormat="1" ht="13.5" thickBot="1">
      <c r="A67" s="2958" t="s">
        <v>2790</v>
      </c>
      <c r="B67" s="3004">
        <f t="shared" si="47"/>
        <v>103</v>
      </c>
      <c r="C67" s="3004">
        <f t="shared" si="47"/>
        <v>104</v>
      </c>
      <c r="D67" s="3004">
        <f t="shared" si="9"/>
        <v>104</v>
      </c>
      <c r="E67" s="3004">
        <f t="shared" si="48"/>
        <v>103.5</v>
      </c>
      <c r="F67" s="3004">
        <f t="shared" si="48"/>
        <v>100.5</v>
      </c>
      <c r="G67" s="3695">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2791</v>
      </c>
      <c r="G70" s="3014"/>
      <c r="N70" s="3014"/>
      <c r="S70" s="3014"/>
    </row>
    <row r="71" spans="1:26" s="3013" customFormat="1">
      <c r="A71" s="3013" t="s">
        <v>2792</v>
      </c>
      <c r="G71" s="3014"/>
      <c r="N71" s="3014"/>
      <c r="S71" s="3014"/>
    </row>
    <row r="72" spans="1:26" s="3013" customFormat="1">
      <c r="A72" s="3013" t="s">
        <v>2793</v>
      </c>
      <c r="G72" s="3014"/>
      <c r="I72" s="3015"/>
      <c r="J72" s="3015"/>
      <c r="K72" s="3015"/>
      <c r="L72" s="3015"/>
      <c r="N72" s="3016"/>
      <c r="O72" s="3015"/>
      <c r="P72" s="3015"/>
      <c r="Q72" s="3015"/>
      <c r="S72" s="3016"/>
      <c r="T72" s="3015"/>
      <c r="U72" s="3015"/>
      <c r="V72" s="3015"/>
    </row>
    <row r="73" spans="1:26" s="3013" customFormat="1">
      <c r="A73" s="3013" t="s">
        <v>2794</v>
      </c>
      <c r="G73" s="3014"/>
      <c r="N73" s="3014"/>
      <c r="S73" s="3014"/>
    </row>
    <row r="80" spans="1:26" ht="13.5" thickBot="1"/>
    <row r="81" spans="14:22" s="2935" customFormat="1">
      <c r="N81" s="2950"/>
      <c r="S81" s="3017" t="s">
        <v>2795</v>
      </c>
      <c r="T81" s="3018" t="s">
        <v>2796</v>
      </c>
      <c r="U81" s="3018" t="s">
        <v>2797</v>
      </c>
      <c r="V81" s="3018" t="s">
        <v>2798</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2396</v>
      </c>
      <c r="C1" s="3704" t="s">
        <v>2397</v>
      </c>
      <c r="D1" s="3705"/>
      <c r="E1" s="3705"/>
      <c r="F1" s="3705"/>
      <c r="G1" s="3705"/>
      <c r="H1" s="3705"/>
      <c r="I1" s="3705"/>
      <c r="J1" s="3705"/>
      <c r="K1" s="3705"/>
      <c r="L1" s="3705"/>
      <c r="M1" s="3705"/>
      <c r="N1" s="3705"/>
      <c r="O1" s="3705"/>
      <c r="P1" s="3705"/>
      <c r="Q1" s="3705"/>
      <c r="R1" s="3705"/>
      <c r="S1" s="3706"/>
      <c r="T1" s="2443" t="s">
        <v>2398</v>
      </c>
    </row>
    <row r="2" spans="1:45" s="1116" customFormat="1">
      <c r="A2" s="2444"/>
      <c r="B2" s="1112" t="s">
        <v>2399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7"/>
      <c r="G4" s="3217"/>
      <c r="H4" s="3217"/>
      <c r="I4" s="3217"/>
      <c r="J4" s="3217"/>
      <c r="K4" s="3217"/>
      <c r="L4" s="3217"/>
      <c r="M4" s="3218"/>
      <c r="N4" s="3218"/>
      <c r="O4" s="3217"/>
      <c r="P4" s="3217"/>
      <c r="Q4" s="3217"/>
      <c r="R4" s="3217"/>
      <c r="S4" s="3219"/>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2" t="s">
        <v>3047</v>
      </c>
      <c r="C5" s="2455"/>
      <c r="D5" s="2456"/>
      <c r="E5" s="2456"/>
      <c r="F5" s="3220"/>
      <c r="G5" s="3220"/>
      <c r="H5" s="3220"/>
      <c r="I5" s="3220"/>
      <c r="J5" s="3220"/>
      <c r="K5" s="3220"/>
      <c r="L5" s="3221"/>
      <c r="M5" s="3222"/>
      <c r="N5" s="3222"/>
      <c r="O5" s="3220"/>
      <c r="P5" s="3220"/>
      <c r="Q5" s="3220"/>
      <c r="R5" s="3220"/>
      <c r="S5" s="3223"/>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3" t="s">
        <v>3046</v>
      </c>
      <c r="C7" s="2210"/>
      <c r="D7" s="2204"/>
      <c r="E7" s="2204"/>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3" t="s">
        <v>3045</v>
      </c>
      <c r="C9" s="2210"/>
      <c r="D9" s="2204"/>
      <c r="E9" s="2204"/>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2" t="s">
        <v>3044</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2" t="s">
        <v>3043</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2" t="s">
        <v>3042</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2400</v>
      </c>
      <c r="B17" s="2487" t="s">
        <v>2401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701" t="s">
        <v>169</v>
      </c>
      <c r="D22" s="3702"/>
      <c r="E22" s="3702"/>
      <c r="F22" s="3702"/>
      <c r="G22" s="3702"/>
      <c r="H22" s="3702"/>
      <c r="I22" s="3702"/>
      <c r="J22" s="3702"/>
      <c r="K22" s="3702"/>
      <c r="L22" s="3702"/>
      <c r="M22" s="3702"/>
      <c r="N22" s="3702"/>
      <c r="O22" s="3702"/>
      <c r="P22" s="3702"/>
      <c r="Q22" s="3703"/>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2039</v>
      </c>
      <c r="B1" s="1965"/>
      <c r="C1" s="1965"/>
      <c r="D1" s="1965"/>
      <c r="E1" s="1965"/>
    </row>
    <row r="2" spans="1:5" ht="78" customHeight="1">
      <c r="A2" s="3344"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4"/>
      <c r="C2" s="3344"/>
      <c r="D2" s="3344"/>
      <c r="E2" s="3344"/>
    </row>
    <row r="3" spans="1:5" ht="18.75">
      <c r="A3" s="3345" t="s">
        <v>2040</v>
      </c>
      <c r="B3" s="3345"/>
      <c r="C3" s="3345"/>
      <c r="D3" s="3345"/>
      <c r="E3" s="3345"/>
    </row>
    <row r="4" spans="1:5" ht="19.5" thickBot="1">
      <c r="A4" s="1977"/>
      <c r="B4" s="3343" t="s">
        <v>2045</v>
      </c>
      <c r="C4" s="3343"/>
      <c r="D4" s="3343"/>
      <c r="E4" s="1977"/>
    </row>
    <row r="5" spans="1:5" ht="16.5" thickTop="1">
      <c r="A5" s="1965"/>
      <c r="B5" s="3341" t="s">
        <v>2041</v>
      </c>
      <c r="C5" s="1967" t="s">
        <v>2046</v>
      </c>
      <c r="D5" s="1968">
        <f ca="1">结果表!H101</f>
        <v>5173</v>
      </c>
      <c r="E5" s="1965"/>
    </row>
    <row r="6" spans="1:5" ht="15.75">
      <c r="A6" s="1965"/>
      <c r="B6" s="3341"/>
      <c r="C6" s="1967" t="s">
        <v>2889</v>
      </c>
      <c r="D6" s="1968" t="str">
        <f ca="1">NUMBERSTRING(INT(D5*10000),2)&amp;"元整"</f>
        <v>伍仟壹佰柒拾叁万元整</v>
      </c>
      <c r="E6" s="1965"/>
    </row>
    <row r="7" spans="1:5" ht="15.75">
      <c r="A7" s="1965"/>
      <c r="B7" s="3346"/>
      <c r="C7" s="1969" t="s">
        <v>2047</v>
      </c>
      <c r="D7" s="1970">
        <f ca="1">结果表!H102</f>
        <v>2576</v>
      </c>
      <c r="E7" s="1965"/>
    </row>
    <row r="8" spans="1:5" ht="15.75">
      <c r="A8" s="1965"/>
      <c r="B8" s="3347" t="str">
        <f>结果表!E103</f>
        <v>2.估价师知悉的法定优先受偿款</v>
      </c>
      <c r="C8" s="1971" t="s">
        <v>2048</v>
      </c>
      <c r="D8" s="1970">
        <f>结果表!H103</f>
        <v>0</v>
      </c>
      <c r="E8" s="1965"/>
    </row>
    <row r="9" spans="1:5" ht="15.75">
      <c r="A9" s="1965"/>
      <c r="B9" s="3349"/>
      <c r="C9" s="1967" t="s">
        <v>2889</v>
      </c>
      <c r="D9" s="1968" t="str">
        <f>NUMBERSTRING(INT(D8*10000),2)&amp;"元整"</f>
        <v>零元整</v>
      </c>
      <c r="E9" s="1965"/>
    </row>
    <row r="10" spans="1:5" ht="15">
      <c r="A10" s="1965"/>
      <c r="B10" s="1972" t="s">
        <v>2042</v>
      </c>
      <c r="C10" s="1973" t="s">
        <v>2048</v>
      </c>
      <c r="D10" s="1974">
        <f>结果表!H104</f>
        <v>0</v>
      </c>
      <c r="E10" s="1965"/>
    </row>
    <row r="11" spans="1:5" ht="15">
      <c r="A11" s="1965"/>
      <c r="B11" s="1972" t="s">
        <v>2043</v>
      </c>
      <c r="C11" s="1973" t="s">
        <v>2048</v>
      </c>
      <c r="D11" s="1974">
        <f>结果表!H105</f>
        <v>0</v>
      </c>
      <c r="E11" s="1965"/>
    </row>
    <row r="12" spans="1:5" ht="15">
      <c r="A12" s="1965"/>
      <c r="B12" s="1972" t="s">
        <v>2044</v>
      </c>
      <c r="C12" s="1973" t="s">
        <v>2048</v>
      </c>
      <c r="D12" s="1974">
        <f>结果表!H106</f>
        <v>0</v>
      </c>
      <c r="E12" s="1965"/>
    </row>
    <row r="13" spans="1:5" ht="15.75">
      <c r="A13" s="1965"/>
      <c r="B13" s="3340" t="str">
        <f>结果表!E107</f>
        <v>3.房地产抵押价值</v>
      </c>
      <c r="C13" s="1975" t="s">
        <v>2046</v>
      </c>
      <c r="D13" s="1978">
        <f ca="1">结果表!H107</f>
        <v>5173</v>
      </c>
      <c r="E13" s="1965"/>
    </row>
    <row r="14" spans="1:5" ht="15.75">
      <c r="A14" s="1965"/>
      <c r="B14" s="3341"/>
      <c r="C14" s="1967" t="s">
        <v>2889</v>
      </c>
      <c r="D14" s="1968" t="str">
        <f ca="1">NUMBERSTRING(INT(D13*10000),2)&amp;"元整"</f>
        <v>伍仟壹佰柒拾叁万元整</v>
      </c>
      <c r="E14" s="1965"/>
    </row>
    <row r="15" spans="1:5" ht="15">
      <c r="A15" s="1965"/>
      <c r="B15" s="3346"/>
      <c r="C15" s="1969" t="s">
        <v>2047</v>
      </c>
      <c r="D15" s="2080">
        <f ca="1">结果表!H108</f>
        <v>2576</v>
      </c>
      <c r="E15" s="1965"/>
    </row>
    <row r="16" spans="1:5" ht="14.25">
      <c r="A16" s="1965"/>
      <c r="B16" s="3347" t="str">
        <f>结果表!E109</f>
        <v>——</v>
      </c>
      <c r="C16" s="1975" t="s">
        <v>2046</v>
      </c>
      <c r="D16" s="2081" t="str">
        <f>结果表!H109</f>
        <v>——</v>
      </c>
      <c r="E16" s="1965"/>
    </row>
    <row r="17" spans="1:5" ht="15.75">
      <c r="A17" s="1965"/>
      <c r="B17" s="3348"/>
      <c r="C17" s="1967" t="s">
        <v>2889</v>
      </c>
      <c r="D17" s="1968" t="e">
        <f>NUMBERSTRING(INT(D16*10000),2)&amp;"元整"</f>
        <v>#VALUE!</v>
      </c>
      <c r="E17" s="1965"/>
    </row>
    <row r="18" spans="1:5" ht="15">
      <c r="A18" s="1965"/>
      <c r="B18" s="3349"/>
      <c r="C18" s="1969" t="s">
        <v>2047</v>
      </c>
      <c r="D18" s="2080" t="str">
        <f>结果表!H110</f>
        <v>——</v>
      </c>
      <c r="E18" s="1965"/>
    </row>
    <row r="19" spans="1:5" ht="15.75">
      <c r="A19" s="1965"/>
      <c r="B19" s="3340" t="str">
        <f>结果表!E111</f>
        <v>——</v>
      </c>
      <c r="C19" s="1975" t="s">
        <v>2046</v>
      </c>
      <c r="D19" s="1970" t="str">
        <f>结果表!H111</f>
        <v>——</v>
      </c>
      <c r="E19" s="1965"/>
    </row>
    <row r="20" spans="1:5" ht="15.75">
      <c r="A20" s="1965"/>
      <c r="B20" s="3341"/>
      <c r="C20" s="1967" t="s">
        <v>2889</v>
      </c>
      <c r="D20" s="1968" t="e">
        <f>NUMBERSTRING(INT(D19*10000),2)&amp;"元整"</f>
        <v>#VALUE!</v>
      </c>
      <c r="E20" s="1965"/>
    </row>
    <row r="21" spans="1:5" ht="15.75" thickBot="1">
      <c r="A21" s="1965"/>
      <c r="B21" s="3342"/>
      <c r="C21" s="2082" t="s">
        <v>2047</v>
      </c>
      <c r="D21" s="2083" t="str">
        <f>结果表!H112</f>
        <v>——</v>
      </c>
      <c r="E21" s="1965"/>
    </row>
    <row r="22" spans="1:5" ht="14.25" thickTop="1">
      <c r="A22" s="1965"/>
      <c r="B22" s="1976" t="s">
        <v>2074</v>
      </c>
      <c r="C22" s="1965"/>
      <c r="D22" s="1965"/>
      <c r="E22" s="1965"/>
    </row>
    <row r="23" spans="1:5">
      <c r="A23" s="1965"/>
      <c r="B23" s="1965"/>
      <c r="C23" s="1965"/>
      <c r="D23" s="1965"/>
      <c r="E23" s="1965"/>
    </row>
    <row r="24" spans="1:5" ht="18.75">
      <c r="A24" s="1996"/>
      <c r="B24" s="1997" t="s">
        <v>2054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822</v>
      </c>
      <c r="B1" s="573"/>
      <c r="C1" s="574"/>
      <c r="D1" s="574"/>
      <c r="E1" s="574"/>
      <c r="F1" s="574"/>
      <c r="G1" s="575"/>
    </row>
    <row r="2" spans="1:7" s="576" customFormat="1" ht="18" customHeight="1">
      <c r="A2" s="577" t="s">
        <v>823</v>
      </c>
      <c r="B2" s="578">
        <f ca="1">C52</f>
        <v>30534</v>
      </c>
      <c r="C2" s="85" t="s">
        <v>872</v>
      </c>
      <c r="D2" s="575"/>
      <c r="E2" s="575"/>
      <c r="F2" s="575"/>
      <c r="G2" s="575"/>
    </row>
    <row r="3" spans="1:7" s="576" customFormat="1" ht="18" customHeight="1" thickBot="1">
      <c r="A3" s="579" t="s">
        <v>824</v>
      </c>
      <c r="B3" s="580">
        <f ca="1">ROUND(B2*10000/'数据-汇总表'!E3,0)</f>
        <v>15204</v>
      </c>
      <c r="C3" s="85" t="s">
        <v>873</v>
      </c>
      <c r="D3" s="575"/>
      <c r="E3" s="575"/>
      <c r="F3" s="575"/>
      <c r="G3" s="575"/>
    </row>
    <row r="4" spans="1:7" s="584" customFormat="1" ht="15.75">
      <c r="A4" s="581" t="s">
        <v>825</v>
      </c>
      <c r="B4" s="582"/>
      <c r="C4" s="582"/>
      <c r="D4" s="582"/>
      <c r="E4" s="582"/>
      <c r="F4" s="582"/>
      <c r="G4" s="583"/>
    </row>
    <row r="5" spans="1:7" s="590" customFormat="1" ht="13.5" customHeight="1">
      <c r="A5" s="631" t="s">
        <v>2519</v>
      </c>
      <c r="B5" s="586" t="s">
        <v>826</v>
      </c>
      <c r="C5" s="587">
        <f>C6+C7+C8</f>
        <v>20810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810</v>
      </c>
      <c r="D7" s="596"/>
      <c r="E7" s="594"/>
      <c r="F7" s="597">
        <f>'数据-取费表'!B48+'数据-取费表'!B49</f>
        <v>4.0500000000000001E-2</v>
      </c>
      <c r="G7" s="595"/>
    </row>
    <row r="8" spans="1:7" s="599" customFormat="1">
      <c r="A8" s="1805" t="s">
        <v>1930</v>
      </c>
      <c r="B8" s="591" t="s">
        <v>831</v>
      </c>
      <c r="C8" s="596" t="str">
        <f>IF(G8="已包含在土地购买价格中","0",'数据-取费表'!B29)</f>
        <v>0</v>
      </c>
      <c r="D8" s="598"/>
      <c r="E8" s="596"/>
      <c r="F8" s="597"/>
      <c r="G8" s="84" t="s">
        <v>2697</v>
      </c>
    </row>
    <row r="9" spans="1:7" s="590" customFormat="1" ht="13.5" customHeight="1">
      <c r="A9" s="1806" t="s">
        <v>1937</v>
      </c>
      <c r="B9" s="600" t="s">
        <v>832</v>
      </c>
      <c r="C9" s="601">
        <f>ROUND(D9*E9/10000,0)</f>
        <v>0</v>
      </c>
      <c r="D9" s="1910">
        <f>'数据-汇总表'!E5</f>
        <v>0</v>
      </c>
      <c r="E9" s="601">
        <f>'数据-取费表'!B27</f>
        <v>0</v>
      </c>
      <c r="F9" s="597"/>
      <c r="G9" s="602"/>
    </row>
    <row r="10" spans="1:7" s="590" customFormat="1" ht="13.5" customHeight="1">
      <c r="A10" s="1806" t="s">
        <v>1938</v>
      </c>
      <c r="B10" s="600" t="s">
        <v>833</v>
      </c>
      <c r="C10" s="601">
        <f>ROUND(D10*E10/10000,0)</f>
        <v>21</v>
      </c>
      <c r="D10" s="1910">
        <f>'数据-汇总表'!E6</f>
        <v>20083.5</v>
      </c>
      <c r="E10" s="601">
        <f>'数据-取费表'!B28</f>
        <v>10.7</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2520</v>
      </c>
      <c r="B19" s="586" t="s">
        <v>850</v>
      </c>
      <c r="C19" s="587">
        <f>IF(G19="已包含在土地取得成本中","0",ROUND(D19*E19/10000,0))</f>
        <v>402</v>
      </c>
      <c r="D19" s="1914">
        <f>'数据-汇总表'!E3</f>
        <v>20083.5</v>
      </c>
      <c r="E19" s="587">
        <f>'数据-取费表'!B31</f>
        <v>200</v>
      </c>
      <c r="F19" s="607"/>
      <c r="G19" s="84" t="s">
        <v>2542</v>
      </c>
    </row>
    <row r="20" spans="1:7" s="590" customFormat="1" ht="13.5" customHeight="1">
      <c r="A20" s="1804" t="s">
        <v>2522</v>
      </c>
      <c r="B20" s="586" t="s">
        <v>843</v>
      </c>
      <c r="C20" s="608">
        <f>ROUND((C5+C19)*F20,0)</f>
        <v>318</v>
      </c>
      <c r="D20" s="608"/>
      <c r="E20" s="608"/>
      <c r="F20" s="609">
        <f>'数据-取费表'!B37</f>
        <v>1.4999999999999999E-2</v>
      </c>
      <c r="G20" s="2622" t="s">
        <v>2533</v>
      </c>
    </row>
    <row r="21" spans="1:7" s="590" customFormat="1" ht="13.5" customHeight="1">
      <c r="A21" s="1804" t="s">
        <v>2524</v>
      </c>
      <c r="B21" s="586" t="s">
        <v>844</v>
      </c>
      <c r="C21" s="611">
        <f>F21</f>
        <v>0.01</v>
      </c>
      <c r="D21" s="612" t="s">
        <v>865</v>
      </c>
      <c r="E21" s="608"/>
      <c r="F21" s="609">
        <f>'数据-取费表'!B38</f>
        <v>0.01</v>
      </c>
      <c r="G21" s="610" t="s">
        <v>845</v>
      </c>
    </row>
    <row r="22" spans="1:7" s="590" customFormat="1" ht="13.5" customHeight="1">
      <c r="A22" s="1804" t="s">
        <v>1923</v>
      </c>
      <c r="B22" s="586" t="s">
        <v>846</v>
      </c>
      <c r="C22" s="2701">
        <f ca="1">ROUND(SUM(C23:C25),0)</f>
        <v>929</v>
      </c>
      <c r="D22" s="611">
        <f ca="1">C26</f>
        <v>2.0000000000000001E-4</v>
      </c>
      <c r="E22" s="612" t="s">
        <v>865</v>
      </c>
      <c r="F22" s="613">
        <f ca="1">'数据-取费表'!B40</f>
        <v>4.3499999999999997E-2</v>
      </c>
      <c r="G22" s="2622" t="str">
        <f>IF('数据-取费表'!B22&lt;=1,"单利计息","复利计息")</f>
        <v>单利计息</v>
      </c>
    </row>
    <row r="23" spans="1:7" s="590" customFormat="1" ht="13.5" customHeight="1">
      <c r="A23" s="1807" t="s">
        <v>1931</v>
      </c>
      <c r="B23" s="591" t="s">
        <v>2526</v>
      </c>
      <c r="C23" s="2702">
        <f ca="1">ROUND(IF('数据-取费表'!B22&lt;=1,C5*F22*'数据-取费表'!B23,C5*(POWER((1+F22),'数据-取费表'!B23)-1)),0)</f>
        <v>905</v>
      </c>
      <c r="D23" s="614"/>
      <c r="E23" s="614"/>
      <c r="F23" s="615"/>
      <c r="G23" s="616" t="s">
        <v>847</v>
      </c>
    </row>
    <row r="24" spans="1:7" s="590" customFormat="1" ht="13.5" customHeight="1">
      <c r="A24" s="1807" t="s">
        <v>1929</v>
      </c>
      <c r="B24" s="591" t="s">
        <v>2521</v>
      </c>
      <c r="C24" s="2702">
        <f ca="1">ROUND(IF('数据-取费表'!B22&lt;=1,C19*F22*('数据-取费表'!B19/2+'数据-取费表'!B21),C19*(POWER((1+F22),('数据-取费表'!B19/2+'数据-取费表'!B21))-1)),0)</f>
        <v>17</v>
      </c>
      <c r="D24" s="614"/>
      <c r="E24" s="614"/>
      <c r="F24" s="615"/>
      <c r="G24" s="616" t="s">
        <v>848</v>
      </c>
    </row>
    <row r="25" spans="1:7" s="590" customFormat="1" ht="24">
      <c r="A25" s="1807" t="s">
        <v>1930</v>
      </c>
      <c r="B25" s="591" t="s">
        <v>2523</v>
      </c>
      <c r="C25" s="2702">
        <f ca="1">ROUND(IF('数据-取费表'!B22&lt;=1,C20*F22*'数据-取费表'!B23/2,C20*(POWER((1+F22),'数据-取费表'!B23/2)-1)),0)</f>
        <v>7</v>
      </c>
      <c r="D25" s="614"/>
      <c r="E25" s="617"/>
      <c r="F25" s="615"/>
      <c r="G25" s="618" t="s">
        <v>849</v>
      </c>
    </row>
    <row r="26" spans="1:7" s="590" customFormat="1">
      <c r="A26" s="1807" t="s">
        <v>1932</v>
      </c>
      <c r="B26" s="591" t="s">
        <v>2525</v>
      </c>
      <c r="C26" s="614">
        <f ca="1">ROUND(IF('数据-取费表'!B22&lt;=1,F21*F22*'数据-取费表'!B23/2,F21*(POWER((1+F22),'数据-取费表'!B23/2)-1)),4)</f>
        <v>2.0000000000000001E-4</v>
      </c>
      <c r="D26" s="614"/>
      <c r="E26" s="617"/>
      <c r="F26" s="615"/>
      <c r="G26" s="619"/>
    </row>
    <row r="27" spans="1:7" s="590" customFormat="1" ht="24.75">
      <c r="A27" s="1804" t="s">
        <v>1924</v>
      </c>
      <c r="B27" s="620" t="s">
        <v>851</v>
      </c>
      <c r="C27" s="621">
        <f>C28</f>
        <v>2153</v>
      </c>
      <c r="D27" s="611">
        <f>C29</f>
        <v>1E-3</v>
      </c>
      <c r="E27" s="612" t="s">
        <v>865</v>
      </c>
      <c r="F27" s="622">
        <f>'数据-取费表'!Q16</f>
        <v>0.1</v>
      </c>
      <c r="G27" s="623" t="s">
        <v>2534</v>
      </c>
    </row>
    <row r="28" spans="1:7" s="590" customFormat="1" ht="13.5" customHeight="1">
      <c r="A28" s="1807" t="s">
        <v>1931</v>
      </c>
      <c r="B28" s="624" t="s">
        <v>2527</v>
      </c>
      <c r="C28" s="625">
        <f>ROUND((C5+C19+C20)*F27*'数据-取费表'!B21/'数据-取费表'!B20,0)</f>
        <v>2153</v>
      </c>
      <c r="D28" s="611"/>
      <c r="E28" s="612"/>
      <c r="F28" s="622"/>
      <c r="G28" s="623"/>
    </row>
    <row r="29" spans="1:7" s="590" customFormat="1" ht="13.5" customHeight="1">
      <c r="A29" s="1807" t="s">
        <v>1929</v>
      </c>
      <c r="B29" s="624" t="s">
        <v>2528</v>
      </c>
      <c r="C29" s="614">
        <f>ROUND(C21*F27*'数据-取费表'!B21/'数据-取费表'!B20,4)</f>
        <v>1E-3</v>
      </c>
      <c r="D29" s="611"/>
      <c r="E29" s="612"/>
      <c r="F29" s="622"/>
      <c r="G29" s="623"/>
    </row>
    <row r="30" spans="1:7" s="590" customFormat="1" ht="13.5" customHeight="1">
      <c r="A30" s="1804" t="s">
        <v>1925</v>
      </c>
      <c r="B30" s="586" t="s">
        <v>349</v>
      </c>
      <c r="C30" s="611">
        <f>F30</f>
        <v>5.5000000000000007E-2</v>
      </c>
      <c r="D30" s="612" t="s">
        <v>866</v>
      </c>
      <c r="E30" s="617"/>
      <c r="F30" s="613">
        <f>'数据-取费表'!B41</f>
        <v>5.5000000000000007E-2</v>
      </c>
      <c r="G30" s="610" t="s">
        <v>852</v>
      </c>
    </row>
    <row r="31" spans="1:7" ht="16.5" customHeight="1">
      <c r="A31" s="585">
        <v>1</v>
      </c>
      <c r="B31" s="586" t="s">
        <v>867</v>
      </c>
      <c r="C31" s="587">
        <f ca="1">ROUND((C5+C19+C20+C22+C27)/(1-C21-D22-D27-C30/(1+'数据-取费表'!B42)),0)</f>
        <v>26283</v>
      </c>
      <c r="D31" s="606"/>
      <c r="E31" s="587"/>
      <c r="F31" s="626"/>
      <c r="G31" s="610" t="s">
        <v>2535</v>
      </c>
    </row>
    <row r="32" spans="1:7" s="584" customFormat="1" ht="15.75">
      <c r="A32" s="628" t="s">
        <v>853</v>
      </c>
      <c r="B32" s="629"/>
      <c r="C32" s="629"/>
      <c r="D32" s="629"/>
      <c r="E32" s="629"/>
      <c r="F32" s="629"/>
      <c r="G32" s="630"/>
    </row>
    <row r="33" spans="1:7" s="590" customFormat="1" ht="13.5" customHeight="1">
      <c r="A33" s="631" t="s">
        <v>1919</v>
      </c>
      <c r="B33" s="586" t="s">
        <v>854</v>
      </c>
      <c r="C33" s="632">
        <f>SUM(C34:C38)</f>
        <v>4600</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4017</v>
      </c>
      <c r="D34" s="593"/>
      <c r="E34" s="596"/>
      <c r="F34" s="633">
        <f>IF('数据-取费表'!B24=0,1,'数据-取费表'!N16)</f>
        <v>1</v>
      </c>
      <c r="G34" s="595" t="s">
        <v>855</v>
      </c>
    </row>
    <row r="35" spans="1:7" ht="13.5" customHeight="1">
      <c r="A35" s="1807" t="s">
        <v>1933</v>
      </c>
      <c r="B35" s="591" t="s">
        <v>351</v>
      </c>
      <c r="C35" s="596">
        <f>ROUND(C34*F35,0)</f>
        <v>121</v>
      </c>
      <c r="D35" s="596"/>
      <c r="E35" s="596"/>
      <c r="F35" s="635">
        <f>'数据-取费表'!B33</f>
        <v>0.03</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402</v>
      </c>
      <c r="D37" s="593">
        <f>'数据-汇总表'!E3</f>
        <v>20083.5</v>
      </c>
      <c r="E37" s="625">
        <f>'数据-取费表'!B35</f>
        <v>200</v>
      </c>
      <c r="F37" s="635"/>
      <c r="G37" s="637" t="s">
        <v>858</v>
      </c>
    </row>
    <row r="38" spans="1:7" ht="13.5" customHeight="1">
      <c r="A38" s="1807" t="s">
        <v>1936</v>
      </c>
      <c r="B38" s="591" t="s">
        <v>354</v>
      </c>
      <c r="C38" s="596">
        <f>ROUND(C34*F38,0)</f>
        <v>60</v>
      </c>
      <c r="D38" s="596"/>
      <c r="E38" s="596"/>
      <c r="F38" s="635">
        <f>'数据-取费表'!B36</f>
        <v>1.4999999999999999E-2</v>
      </c>
      <c r="G38" s="595" t="s">
        <v>856</v>
      </c>
    </row>
    <row r="39" spans="1:7" s="590" customFormat="1" ht="13.5" customHeight="1">
      <c r="A39" s="1804" t="s">
        <v>1920</v>
      </c>
      <c r="B39" s="586" t="s">
        <v>843</v>
      </c>
      <c r="C39" s="608">
        <f>ROUND(C33*F20,0)</f>
        <v>69</v>
      </c>
      <c r="D39" s="608"/>
      <c r="E39" s="608"/>
      <c r="F39" s="609"/>
      <c r="G39" s="2622" t="s">
        <v>2536</v>
      </c>
    </row>
    <row r="40" spans="1:7" s="590" customFormat="1" ht="13.5" customHeight="1">
      <c r="A40" s="1804" t="s">
        <v>1921</v>
      </c>
      <c r="B40" s="586" t="s">
        <v>844</v>
      </c>
      <c r="C40" s="638">
        <f>F21</f>
        <v>0.01</v>
      </c>
      <c r="D40" s="612" t="s">
        <v>868</v>
      </c>
      <c r="E40" s="608"/>
      <c r="F40" s="609"/>
      <c r="G40" s="610" t="s">
        <v>859</v>
      </c>
    </row>
    <row r="41" spans="1:7" s="590" customFormat="1" ht="13.5" customHeight="1">
      <c r="A41" s="1804" t="s">
        <v>1922</v>
      </c>
      <c r="B41" s="586" t="s">
        <v>846</v>
      </c>
      <c r="C41" s="608">
        <f ca="1">ROUND(SUM(C42:C43),0)</f>
        <v>102</v>
      </c>
      <c r="D41" s="611">
        <f ca="1">C44</f>
        <v>2.0000000000000001E-4</v>
      </c>
      <c r="E41" s="612" t="s">
        <v>868</v>
      </c>
      <c r="F41" s="613"/>
      <c r="G41" s="2622" t="str">
        <f>IF('数据-取费表'!B22&lt;=1,"单利计息","复利计息")</f>
        <v>单利计息</v>
      </c>
    </row>
    <row r="42" spans="1:7" ht="13.5" customHeight="1">
      <c r="A42" s="1807" t="s">
        <v>1931</v>
      </c>
      <c r="B42" s="591" t="s">
        <v>2526</v>
      </c>
      <c r="C42" s="614">
        <f ca="1">ROUND(IF('数据-取费表'!B22&lt;=1,C33*F22*'数据-取费表'!B21/2,C33*(POWER((1+F22),'数据-取费表'!B21/2)-1)),0)</f>
        <v>100</v>
      </c>
      <c r="D42" s="614"/>
      <c r="E42" s="614"/>
      <c r="F42" s="615"/>
      <c r="G42" s="3528" t="s">
        <v>860</v>
      </c>
    </row>
    <row r="43" spans="1:7" ht="13.5" customHeight="1">
      <c r="A43" s="1807" t="s">
        <v>1929</v>
      </c>
      <c r="B43" s="591" t="s">
        <v>2529</v>
      </c>
      <c r="C43" s="614">
        <f ca="1">ROUND(IF('数据-取费表'!B22&lt;=1,C39*F22*'数据-取费表'!B21/2,C39*(POWER((1+F22),'数据-取费表'!B21/2)-1)),0)</f>
        <v>2</v>
      </c>
      <c r="D43" s="614"/>
      <c r="E43" s="614"/>
      <c r="F43" s="615"/>
      <c r="G43" s="3529"/>
    </row>
    <row r="44" spans="1:7" ht="13.5" customHeight="1">
      <c r="A44" s="1807" t="s">
        <v>1930</v>
      </c>
      <c r="B44" s="591" t="s">
        <v>2531</v>
      </c>
      <c r="C44" s="614">
        <f ca="1">ROUND(IF('数据-取费表'!B22&lt;=1,C40*F22*'数据-取费表'!B21/2,C40*(POWER((1+F22),'数据-取费表'!B21/2)-1)),4)</f>
        <v>2.0000000000000001E-4</v>
      </c>
      <c r="D44" s="614"/>
      <c r="E44" s="614"/>
      <c r="F44" s="615"/>
      <c r="G44" s="3530"/>
    </row>
    <row r="45" spans="1:7" s="590" customFormat="1" ht="13.5" customHeight="1">
      <c r="A45" s="1804" t="s">
        <v>1923</v>
      </c>
      <c r="B45" s="620" t="s">
        <v>851</v>
      </c>
      <c r="C45" s="621">
        <f>C46</f>
        <v>467</v>
      </c>
      <c r="D45" s="611">
        <f>C47</f>
        <v>1E-3</v>
      </c>
      <c r="E45" s="612" t="s">
        <v>868</v>
      </c>
      <c r="F45" s="622"/>
      <c r="G45" s="623" t="s">
        <v>2537</v>
      </c>
    </row>
    <row r="46" spans="1:7" s="590" customFormat="1" ht="13.5" customHeight="1">
      <c r="A46" s="1807" t="s">
        <v>1931</v>
      </c>
      <c r="B46" s="624" t="s">
        <v>2530</v>
      </c>
      <c r="C46" s="625">
        <f>ROUND((C33+C39)*F27,0)</f>
        <v>467</v>
      </c>
      <c r="D46" s="639"/>
      <c r="E46" s="612"/>
      <c r="F46" s="622"/>
      <c r="G46" s="623"/>
    </row>
    <row r="47" spans="1:7" s="590" customFormat="1" ht="13.5" customHeight="1">
      <c r="A47" s="1807" t="s">
        <v>1929</v>
      </c>
      <c r="B47" s="624" t="s">
        <v>2532</v>
      </c>
      <c r="C47" s="614">
        <f>ROUND(C40*F27,4)</f>
        <v>1E-3</v>
      </c>
      <c r="D47" s="639"/>
      <c r="E47" s="612"/>
      <c r="F47" s="622"/>
      <c r="G47" s="623"/>
    </row>
    <row r="48" spans="1:7" s="590" customFormat="1" ht="13.5" customHeight="1">
      <c r="A48" s="1804" t="s">
        <v>1924</v>
      </c>
      <c r="B48" s="586" t="s">
        <v>861</v>
      </c>
      <c r="C48" s="638">
        <f>F30</f>
        <v>5.5000000000000007E-2</v>
      </c>
      <c r="D48" s="612" t="s">
        <v>869</v>
      </c>
      <c r="E48" s="608"/>
      <c r="F48" s="613"/>
      <c r="G48" s="610" t="s">
        <v>862</v>
      </c>
    </row>
    <row r="49" spans="1:7" ht="16.5" customHeight="1">
      <c r="A49" s="1804" t="s">
        <v>1925</v>
      </c>
      <c r="B49" s="586" t="s">
        <v>870</v>
      </c>
      <c r="C49" s="608">
        <f ca="1">ROUND((C33+C39+C41+C45)/(1-C40-D41-D45-C48/(1+'数据-取费表'!B42)),0)</f>
        <v>5594</v>
      </c>
      <c r="D49" s="608"/>
      <c r="E49" s="608"/>
      <c r="F49" s="640"/>
      <c r="G49" s="610" t="s">
        <v>2538</v>
      </c>
    </row>
    <row r="50" spans="1:7" s="634" customFormat="1" ht="24">
      <c r="A50" s="1804" t="s">
        <v>1926</v>
      </c>
      <c r="B50" s="586" t="s">
        <v>863</v>
      </c>
      <c r="C50" s="608"/>
      <c r="D50" s="608"/>
      <c r="E50" s="608"/>
      <c r="F50" s="640">
        <f>IF('数据-取费表'!B24=0,'数据-取费表'!N16,1)</f>
        <v>0.76</v>
      </c>
      <c r="G50" s="623" t="s">
        <v>864</v>
      </c>
    </row>
    <row r="51" spans="1:7" ht="16.5" customHeight="1">
      <c r="A51" s="1804" t="s">
        <v>1927</v>
      </c>
      <c r="B51" s="586" t="s">
        <v>871</v>
      </c>
      <c r="C51" s="608">
        <f ca="1">ROUND(C49*F50,0)</f>
        <v>4251</v>
      </c>
      <c r="D51" s="608"/>
      <c r="E51" s="608"/>
      <c r="F51" s="640"/>
      <c r="G51" s="610" t="s">
        <v>355</v>
      </c>
    </row>
    <row r="52" spans="1:7" s="584" customFormat="1" ht="16.5" thickBot="1">
      <c r="A52" s="641" t="s">
        <v>356</v>
      </c>
      <c r="B52" s="642"/>
      <c r="C52" s="643">
        <f ca="1">C31+C51</f>
        <v>30534</v>
      </c>
      <c r="D52" s="642"/>
      <c r="E52" s="642"/>
      <c r="F52" s="642"/>
      <c r="G52" s="644"/>
    </row>
    <row r="55" spans="1:7" ht="15">
      <c r="B55" s="646" t="s">
        <v>357</v>
      </c>
      <c r="C55" s="647"/>
    </row>
    <row r="56" spans="1:7">
      <c r="B56" s="649" t="s">
        <v>358</v>
      </c>
      <c r="C56" s="650">
        <f ca="1">ROUND(C51/C52,3)</f>
        <v>0.13900000000000001</v>
      </c>
    </row>
    <row r="57" spans="1:7">
      <c r="B57" s="649" t="s">
        <v>359</v>
      </c>
      <c r="C57" s="651">
        <f ca="1">1-C56</f>
        <v>0.86099999999999999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7" t="s">
        <v>1177</v>
      </c>
      <c r="B1" s="3707"/>
      <c r="C1" s="3707"/>
      <c r="D1" s="3707"/>
      <c r="E1" s="3707"/>
      <c r="F1" s="3707"/>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4.25" thickBot="1">
      <c r="A2" s="3708" t="s">
        <v>1190</v>
      </c>
      <c r="B2" s="3708"/>
      <c r="C2" s="3708"/>
      <c r="D2" s="3708"/>
      <c r="E2" s="3708"/>
      <c r="F2" s="3708"/>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709"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710"/>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2511</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2511</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7" t="s">
        <v>2146</v>
      </c>
      <c r="B1" s="3707"/>
    </row>
    <row r="2" spans="1:6" ht="14.25" thickBot="1">
      <c r="A2" s="2114"/>
      <c r="B2" s="2114"/>
    </row>
    <row r="3" spans="1:6" ht="14.25" thickBot="1">
      <c r="A3" s="2114"/>
      <c r="B3" s="2114"/>
      <c r="C3" s="2118" t="s">
        <v>2149</v>
      </c>
      <c r="D3" s="2118" t="s">
        <v>2150</v>
      </c>
      <c r="E3" s="2118" t="s">
        <v>2151</v>
      </c>
      <c r="F3" s="2118" t="s">
        <v>2152</v>
      </c>
    </row>
    <row r="4" spans="1:6" ht="14.25" thickBot="1">
      <c r="A4" s="2116" t="s">
        <v>2147</v>
      </c>
      <c r="B4" s="2117" t="s">
        <v>2148</v>
      </c>
      <c r="C4" s="2118"/>
      <c r="D4" s="2118"/>
      <c r="E4" s="2118"/>
      <c r="F4" s="2118"/>
    </row>
    <row r="5" spans="1:6" ht="14.25" thickBot="1">
      <c r="A5" s="1531" t="s">
        <v>2153</v>
      </c>
      <c r="B5" s="1532" t="s">
        <v>2154</v>
      </c>
      <c r="C5" s="2119">
        <v>8.8999999999999996E-2</v>
      </c>
      <c r="D5" s="2119">
        <v>7.3999999999999996E-2</v>
      </c>
      <c r="E5" s="2119">
        <v>7.4999999999999997E-2</v>
      </c>
      <c r="F5" s="2120">
        <v>0.1</v>
      </c>
    </row>
    <row r="6" spans="1:6" ht="14.25" thickBot="1">
      <c r="A6" s="1531" t="s">
        <v>1233</v>
      </c>
      <c r="B6" s="1525" t="s">
        <v>2155</v>
      </c>
      <c r="C6" s="2121">
        <v>0.1</v>
      </c>
      <c r="D6" s="2121">
        <v>9.0999999999999998E-2</v>
      </c>
      <c r="E6" s="2121">
        <v>9.0999999999999998E-2</v>
      </c>
      <c r="F6" s="2122">
        <v>0.1</v>
      </c>
    </row>
    <row r="7" spans="1:6" ht="14.25" thickBot="1">
      <c r="A7" s="1531" t="s">
        <v>1233</v>
      </c>
      <c r="B7" s="1535" t="s">
        <v>1222</v>
      </c>
      <c r="C7" s="2121">
        <v>8.5999999999999993E-2</v>
      </c>
      <c r="D7" s="2121">
        <v>9.6000000000000002E-2</v>
      </c>
      <c r="E7" s="2121">
        <v>7.5999999999999998E-2</v>
      </c>
      <c r="F7" s="2122">
        <v>0.1</v>
      </c>
    </row>
    <row r="8" spans="1:6" ht="14.25" thickBot="1">
      <c r="A8" s="1531" t="s">
        <v>1233</v>
      </c>
      <c r="B8" s="1525" t="s">
        <v>1234</v>
      </c>
      <c r="C8" s="2121">
        <v>9.9000000000000005E-2</v>
      </c>
      <c r="D8" s="2121">
        <v>9.8000000000000004E-2</v>
      </c>
      <c r="E8" s="2121">
        <v>9.8000000000000004E-2</v>
      </c>
      <c r="F8" s="2122">
        <v>0.1</v>
      </c>
    </row>
    <row r="9" spans="1:6" ht="14.25" thickBot="1">
      <c r="A9" s="1541" t="s">
        <v>1233</v>
      </c>
      <c r="B9" s="1536" t="s">
        <v>1246</v>
      </c>
      <c r="C9" s="2123">
        <v>0.05</v>
      </c>
      <c r="D9" s="2131"/>
      <c r="E9" s="2131"/>
      <c r="F9" s="2132"/>
    </row>
    <row r="10" spans="1:6" ht="14.25" thickBot="1">
      <c r="A10" s="1531" t="s">
        <v>1290</v>
      </c>
      <c r="B10" s="1532" t="s">
        <v>2156</v>
      </c>
      <c r="C10" s="2119">
        <v>8.8999999999999996E-2</v>
      </c>
      <c r="D10" s="2119">
        <v>7.2999999999999995E-2</v>
      </c>
      <c r="E10" s="2119">
        <v>8.2000000000000003E-2</v>
      </c>
      <c r="F10" s="2120">
        <v>0.1</v>
      </c>
    </row>
    <row r="11" spans="1:6" ht="14.25" thickBot="1">
      <c r="A11" s="1531" t="s">
        <v>1290</v>
      </c>
      <c r="B11" s="1535" t="s">
        <v>1209</v>
      </c>
      <c r="C11" s="2121">
        <v>8.8999999999999996E-2</v>
      </c>
      <c r="D11" s="2121">
        <v>7.2999999999999995E-2</v>
      </c>
      <c r="E11" s="2121">
        <v>8.2000000000000003E-2</v>
      </c>
      <c r="F11" s="2122">
        <v>0.1</v>
      </c>
    </row>
    <row r="12" spans="1:6" ht="14.25" thickBot="1">
      <c r="A12" s="1531" t="s">
        <v>1290</v>
      </c>
      <c r="B12" s="1535" t="s">
        <v>1145</v>
      </c>
      <c r="C12" s="2121">
        <v>6.0999999999999999E-2</v>
      </c>
      <c r="D12" s="2121">
        <v>7.0999999999999994E-2</v>
      </c>
      <c r="E12" s="2121">
        <v>9.6000000000000002E-2</v>
      </c>
      <c r="F12" s="2122">
        <v>0.1</v>
      </c>
    </row>
    <row r="13" spans="1:6" ht="14.25" thickBot="1">
      <c r="A13" s="1531" t="s">
        <v>1290</v>
      </c>
      <c r="B13" s="1535" t="s">
        <v>1235</v>
      </c>
      <c r="C13" s="2121">
        <v>6.9000000000000006E-2</v>
      </c>
      <c r="D13" s="2121">
        <v>6.5000000000000002E-2</v>
      </c>
      <c r="E13" s="2121">
        <v>6.6000000000000003E-2</v>
      </c>
      <c r="F13" s="2122">
        <v>0.1</v>
      </c>
    </row>
    <row r="14" spans="1:6" ht="14.25" thickBot="1">
      <c r="A14" s="1531" t="s">
        <v>1290</v>
      </c>
      <c r="B14" s="1535" t="s">
        <v>1247</v>
      </c>
      <c r="C14" s="2121">
        <v>0.1</v>
      </c>
      <c r="D14" s="2121">
        <v>6.5000000000000002E-2</v>
      </c>
      <c r="E14" s="2121">
        <v>7.0000000000000007E-2</v>
      </c>
      <c r="F14" s="2122">
        <v>0.1</v>
      </c>
    </row>
    <row r="15" spans="1:6" ht="14.25" thickBot="1">
      <c r="A15" s="1531" t="s">
        <v>1290</v>
      </c>
      <c r="B15" s="1535" t="s">
        <v>1258</v>
      </c>
      <c r="C15" s="2121">
        <v>9.8000000000000004E-2</v>
      </c>
      <c r="D15" s="2121">
        <v>8.8999999999999996E-2</v>
      </c>
      <c r="E15" s="2121">
        <v>8.8999999999999996E-2</v>
      </c>
      <c r="F15" s="2122">
        <v>0.1</v>
      </c>
    </row>
    <row r="16" spans="1:6" ht="14.25" thickBot="1">
      <c r="A16" s="1531" t="s">
        <v>1290</v>
      </c>
      <c r="B16" s="1535" t="s">
        <v>1269</v>
      </c>
      <c r="C16" s="2121">
        <v>7.0000000000000007E-2</v>
      </c>
      <c r="D16" s="2121">
        <v>9.2999999999999999E-2</v>
      </c>
      <c r="E16" s="2121">
        <v>9.6000000000000002E-2</v>
      </c>
      <c r="F16" s="2122">
        <v>0.1</v>
      </c>
    </row>
    <row r="17" spans="1:6" ht="14.25" thickBot="1">
      <c r="A17" s="1531" t="s">
        <v>1290</v>
      </c>
      <c r="B17" s="1535" t="s">
        <v>1280</v>
      </c>
      <c r="C17" s="2121">
        <v>9.5000000000000001E-2</v>
      </c>
      <c r="D17" s="2121">
        <v>0.1</v>
      </c>
      <c r="E17" s="2121">
        <v>0.1</v>
      </c>
      <c r="F17" s="2133"/>
    </row>
    <row r="18" spans="1:6" ht="14.25" thickBot="1">
      <c r="A18" s="1531" t="s">
        <v>1290</v>
      </c>
      <c r="B18" s="1535" t="s">
        <v>1292</v>
      </c>
      <c r="C18" s="2121">
        <v>7.3999999999999996E-2</v>
      </c>
      <c r="D18" s="2121">
        <v>9.9000000000000005E-2</v>
      </c>
      <c r="E18" s="2121">
        <v>0.1</v>
      </c>
      <c r="F18" s="2133"/>
    </row>
    <row r="19" spans="1:6" ht="14.25" thickBot="1">
      <c r="A19" s="1531" t="s">
        <v>1290</v>
      </c>
      <c r="B19" s="1535" t="s">
        <v>1302</v>
      </c>
      <c r="C19" s="2121">
        <v>9.9000000000000005E-2</v>
      </c>
      <c r="D19" s="2121">
        <v>7.5999999999999998E-2</v>
      </c>
      <c r="E19" s="2121">
        <v>8.6999999999999994E-2</v>
      </c>
      <c r="F19" s="2133"/>
    </row>
    <row r="20" spans="1:6" ht="14.25" thickBot="1">
      <c r="A20" s="1531" t="s">
        <v>1290</v>
      </c>
      <c r="B20" s="1535" t="s">
        <v>1312</v>
      </c>
      <c r="C20" s="2121">
        <v>9.8000000000000004E-2</v>
      </c>
      <c r="D20" s="2121">
        <v>8.5000000000000006E-2</v>
      </c>
      <c r="E20" s="2121">
        <v>8.2000000000000003E-2</v>
      </c>
      <c r="F20" s="2133"/>
    </row>
    <row r="21" spans="1:6" ht="14.25" thickBot="1">
      <c r="A21" s="1531" t="s">
        <v>1290</v>
      </c>
      <c r="B21" s="1535" t="s">
        <v>1322</v>
      </c>
      <c r="C21" s="2121">
        <v>6.6000000000000003E-2</v>
      </c>
      <c r="D21" s="2121">
        <v>6.4000000000000001E-2</v>
      </c>
      <c r="E21" s="2121">
        <v>6.5000000000000002E-2</v>
      </c>
      <c r="F21" s="2133"/>
    </row>
    <row r="22" spans="1:6" ht="14.25" thickBot="1">
      <c r="A22" s="1531" t="s">
        <v>1290</v>
      </c>
      <c r="B22" s="1535" t="s">
        <v>2157</v>
      </c>
      <c r="C22" s="2121">
        <v>0.08</v>
      </c>
      <c r="D22" s="2121">
        <v>9.8000000000000004E-2</v>
      </c>
      <c r="E22" s="2121">
        <v>9.8000000000000004E-2</v>
      </c>
      <c r="F22" s="2133"/>
    </row>
    <row r="23" spans="1:6" ht="14.25" thickBot="1">
      <c r="A23" s="1531" t="s">
        <v>1290</v>
      </c>
      <c r="B23" s="1535" t="s">
        <v>1343</v>
      </c>
      <c r="C23" s="2121">
        <v>9.9000000000000005E-2</v>
      </c>
      <c r="D23" s="2121">
        <v>9.8000000000000004E-2</v>
      </c>
      <c r="E23" s="2121">
        <v>9.0999999999999998E-2</v>
      </c>
      <c r="F23" s="2133"/>
    </row>
    <row r="24" spans="1:6" ht="14.25" thickBot="1">
      <c r="A24" s="1531" t="s">
        <v>1290</v>
      </c>
      <c r="B24" s="1535" t="s">
        <v>1354</v>
      </c>
      <c r="C24" s="2121">
        <v>8.8999999999999996E-2</v>
      </c>
      <c r="D24" s="2121">
        <v>9.7000000000000003E-2</v>
      </c>
      <c r="E24" s="2121">
        <v>7.0000000000000007E-2</v>
      </c>
      <c r="F24" s="2133"/>
    </row>
    <row r="25" spans="1:6" ht="14.25" thickBot="1">
      <c r="A25" s="1531" t="s">
        <v>1290</v>
      </c>
      <c r="B25" s="1535" t="s">
        <v>1364</v>
      </c>
      <c r="C25" s="2121">
        <v>8.8999999999999996E-2</v>
      </c>
      <c r="D25" s="2121">
        <v>0.1</v>
      </c>
      <c r="E25" s="2121">
        <v>8.1000000000000003E-2</v>
      </c>
      <c r="F25" s="2133"/>
    </row>
    <row r="26" spans="1:6" ht="14.25" thickBot="1">
      <c r="A26" s="1531" t="s">
        <v>1290</v>
      </c>
      <c r="B26" s="1535" t="s">
        <v>1374</v>
      </c>
      <c r="C26" s="2134"/>
      <c r="D26" s="2121">
        <v>9.6000000000000002E-2</v>
      </c>
      <c r="E26" s="2121">
        <v>9.2999999999999999E-2</v>
      </c>
      <c r="F26" s="2133"/>
    </row>
    <row r="27" spans="1:6" ht="14.25" thickBot="1">
      <c r="A27" s="1531" t="s">
        <v>1290</v>
      </c>
      <c r="B27" s="1535" t="s">
        <v>1384</v>
      </c>
      <c r="C27" s="2134"/>
      <c r="D27" s="2121">
        <v>7.5999999999999998E-2</v>
      </c>
      <c r="E27" s="2121">
        <v>9.1999999999999998E-2</v>
      </c>
      <c r="F27" s="2133"/>
    </row>
    <row r="28" spans="1:6" ht="14.25" thickBot="1">
      <c r="A28" s="1541" t="s">
        <v>1290</v>
      </c>
      <c r="B28" s="1536" t="s">
        <v>1394</v>
      </c>
      <c r="C28" s="2131"/>
      <c r="D28" s="2123">
        <v>7.5999999999999998E-2</v>
      </c>
      <c r="E28" s="2123">
        <v>9.1999999999999998E-2</v>
      </c>
      <c r="F28" s="2132"/>
    </row>
    <row r="29" spans="1:6" ht="14.25" thickBot="1">
      <c r="A29" s="1531" t="s">
        <v>1463</v>
      </c>
      <c r="B29" s="1532" t="s">
        <v>2158</v>
      </c>
      <c r="C29" s="2119">
        <v>6.4000000000000001E-2</v>
      </c>
      <c r="D29" s="2119">
        <v>6.5000000000000002E-2</v>
      </c>
      <c r="E29" s="2119">
        <v>6.9000000000000006E-2</v>
      </c>
      <c r="F29" s="2120">
        <v>0.1</v>
      </c>
    </row>
    <row r="30" spans="1:6" ht="14.25" thickBot="1">
      <c r="A30" s="1531" t="s">
        <v>1463</v>
      </c>
      <c r="B30" s="1535" t="s">
        <v>1210</v>
      </c>
      <c r="C30" s="2121">
        <v>6.4000000000000001E-2</v>
      </c>
      <c r="D30" s="2121">
        <v>9.9000000000000005E-2</v>
      </c>
      <c r="E30" s="2121">
        <v>0.1</v>
      </c>
      <c r="F30" s="2122">
        <v>0.1</v>
      </c>
    </row>
    <row r="31" spans="1:6" ht="14.25" thickBot="1">
      <c r="A31" s="1531" t="s">
        <v>1463</v>
      </c>
      <c r="B31" s="1535" t="s">
        <v>1223</v>
      </c>
      <c r="C31" s="2121">
        <v>0.1</v>
      </c>
      <c r="D31" s="2121">
        <v>9.5000000000000001E-2</v>
      </c>
      <c r="E31" s="2121">
        <v>8.8999999999999996E-2</v>
      </c>
      <c r="F31" s="2122">
        <v>0.1</v>
      </c>
    </row>
    <row r="32" spans="1:6" ht="14.25" thickBot="1">
      <c r="A32" s="1531" t="s">
        <v>1463</v>
      </c>
      <c r="B32" s="1535" t="s">
        <v>1236</v>
      </c>
      <c r="C32" s="2121">
        <v>0.05</v>
      </c>
      <c r="D32" s="2121">
        <v>0.05</v>
      </c>
      <c r="E32" s="2121">
        <v>8.7999999999999995E-2</v>
      </c>
      <c r="F32" s="2122">
        <v>0.1</v>
      </c>
    </row>
    <row r="33" spans="1:6" ht="14.25" thickBot="1">
      <c r="A33" s="1531" t="s">
        <v>1463</v>
      </c>
      <c r="B33" s="1535" t="s">
        <v>1248</v>
      </c>
      <c r="C33" s="2121">
        <v>7.4999999999999997E-2</v>
      </c>
      <c r="D33" s="2121">
        <v>9.4E-2</v>
      </c>
      <c r="E33" s="2121">
        <v>9.7000000000000003E-2</v>
      </c>
      <c r="F33" s="2122">
        <v>0.1</v>
      </c>
    </row>
    <row r="34" spans="1:6" ht="14.25" thickBot="1">
      <c r="A34" s="1531" t="s">
        <v>1463</v>
      </c>
      <c r="B34" s="1535" t="s">
        <v>1259</v>
      </c>
      <c r="C34" s="2121">
        <v>9.8000000000000004E-2</v>
      </c>
      <c r="D34" s="2121">
        <v>8.5999999999999993E-2</v>
      </c>
      <c r="E34" s="2121">
        <v>9.7000000000000003E-2</v>
      </c>
      <c r="F34" s="2122">
        <v>0.1</v>
      </c>
    </row>
    <row r="35" spans="1:6" ht="14.25" thickBot="1">
      <c r="A35" s="1531" t="s">
        <v>1463</v>
      </c>
      <c r="B35" s="1535" t="s">
        <v>1270</v>
      </c>
      <c r="C35" s="2121">
        <v>5.8999999999999997E-2</v>
      </c>
      <c r="D35" s="2121">
        <v>6.5000000000000002E-2</v>
      </c>
      <c r="E35" s="2121">
        <v>7.0000000000000007E-2</v>
      </c>
      <c r="F35" s="2122">
        <v>0.1</v>
      </c>
    </row>
    <row r="36" spans="1:6" ht="14.25" thickBot="1">
      <c r="A36" s="1531" t="s">
        <v>1463</v>
      </c>
      <c r="B36" s="1535" t="s">
        <v>1281</v>
      </c>
      <c r="C36" s="2121">
        <v>6.3E-2</v>
      </c>
      <c r="D36" s="2121">
        <v>0.1</v>
      </c>
      <c r="E36" s="2121">
        <v>0.1</v>
      </c>
      <c r="F36" s="2122">
        <v>0.1</v>
      </c>
    </row>
    <row r="37" spans="1:6" ht="14.25" thickBot="1">
      <c r="A37" s="1531" t="s">
        <v>1463</v>
      </c>
      <c r="B37" s="1535" t="s">
        <v>1293</v>
      </c>
      <c r="C37" s="2121">
        <v>7.3999999999999996E-2</v>
      </c>
      <c r="D37" s="2121">
        <v>0.1</v>
      </c>
      <c r="E37" s="2121">
        <v>0.1</v>
      </c>
      <c r="F37" s="2122">
        <v>0.1</v>
      </c>
    </row>
    <row r="38" spans="1:6" ht="14.25" thickBot="1">
      <c r="A38" s="1531" t="s">
        <v>1463</v>
      </c>
      <c r="B38" s="1535" t="s">
        <v>1303</v>
      </c>
      <c r="C38" s="2121">
        <v>0.1</v>
      </c>
      <c r="D38" s="2121">
        <v>9.6000000000000002E-2</v>
      </c>
      <c r="E38" s="2121">
        <v>9.6000000000000002E-2</v>
      </c>
      <c r="F38" s="2133"/>
    </row>
    <row r="39" spans="1:6" ht="14.25" thickBot="1">
      <c r="A39" s="1531" t="s">
        <v>1463</v>
      </c>
      <c r="B39" s="1535" t="s">
        <v>1313</v>
      </c>
      <c r="C39" s="2121">
        <v>0.1</v>
      </c>
      <c r="D39" s="2121">
        <v>9.6000000000000002E-2</v>
      </c>
      <c r="E39" s="2121">
        <v>9.6000000000000002E-2</v>
      </c>
      <c r="F39" s="2133"/>
    </row>
    <row r="40" spans="1:6" ht="14.25" thickBot="1">
      <c r="A40" s="1531" t="s">
        <v>1463</v>
      </c>
      <c r="B40" s="1535" t="s">
        <v>1323</v>
      </c>
      <c r="C40" s="2121">
        <v>9.6000000000000002E-2</v>
      </c>
      <c r="D40" s="2121">
        <v>0.1</v>
      </c>
      <c r="E40" s="2121">
        <v>9.9000000000000005E-2</v>
      </c>
      <c r="F40" s="2133"/>
    </row>
    <row r="41" spans="1:6" ht="14.25" thickBot="1">
      <c r="A41" s="1531" t="s">
        <v>1463</v>
      </c>
      <c r="B41" s="1535" t="s">
        <v>1333</v>
      </c>
      <c r="C41" s="2121">
        <v>9.6000000000000002E-2</v>
      </c>
      <c r="D41" s="2121">
        <v>9.8000000000000004E-2</v>
      </c>
      <c r="E41" s="2121">
        <v>9.8000000000000004E-2</v>
      </c>
      <c r="F41" s="2133"/>
    </row>
    <row r="42" spans="1:6" ht="14.25" thickBot="1">
      <c r="A42" s="1531" t="s">
        <v>1463</v>
      </c>
      <c r="B42" s="1535" t="s">
        <v>1344</v>
      </c>
      <c r="C42" s="2121">
        <v>0.1</v>
      </c>
      <c r="D42" s="2121">
        <v>8.7999999999999995E-2</v>
      </c>
      <c r="E42" s="2121">
        <v>0.1</v>
      </c>
      <c r="F42" s="2133"/>
    </row>
    <row r="43" spans="1:6" ht="14.25" thickBot="1">
      <c r="A43" s="1531" t="s">
        <v>1463</v>
      </c>
      <c r="B43" s="1535" t="s">
        <v>1355</v>
      </c>
      <c r="C43" s="2121">
        <v>9.8000000000000004E-2</v>
      </c>
      <c r="D43" s="2121">
        <v>9.7000000000000003E-2</v>
      </c>
      <c r="E43" s="2121">
        <v>9.6000000000000002E-2</v>
      </c>
      <c r="F43" s="2133"/>
    </row>
    <row r="44" spans="1:6" ht="14.25" thickBot="1">
      <c r="A44" s="1531" t="s">
        <v>1463</v>
      </c>
      <c r="B44" s="1535" t="s">
        <v>1365</v>
      </c>
      <c r="C44" s="2121">
        <v>8.5999999999999993E-2</v>
      </c>
      <c r="D44" s="2121">
        <v>7.9000000000000001E-2</v>
      </c>
      <c r="E44" s="2121">
        <v>7.0999999999999994E-2</v>
      </c>
      <c r="F44" s="2133"/>
    </row>
    <row r="45" spans="1:6" ht="14.25" thickBot="1">
      <c r="A45" s="1531" t="s">
        <v>1463</v>
      </c>
      <c r="B45" s="1535" t="s">
        <v>1375</v>
      </c>
      <c r="C45" s="2121">
        <v>9.8000000000000004E-2</v>
      </c>
      <c r="D45" s="2121">
        <v>9.6000000000000002E-2</v>
      </c>
      <c r="E45" s="2121">
        <v>9.6000000000000002E-2</v>
      </c>
      <c r="F45" s="2133"/>
    </row>
    <row r="46" spans="1:6" ht="14.25" thickBot="1">
      <c r="A46" s="1531" t="s">
        <v>1463</v>
      </c>
      <c r="B46" s="1535" t="s">
        <v>1385</v>
      </c>
      <c r="C46" s="2121">
        <v>8.5999999999999993E-2</v>
      </c>
      <c r="D46" s="2121">
        <v>9.8000000000000004E-2</v>
      </c>
      <c r="E46" s="2121">
        <v>8.7999999999999995E-2</v>
      </c>
      <c r="F46" s="2133"/>
    </row>
    <row r="47" spans="1:6" ht="14.25" thickBot="1">
      <c r="A47" s="1531" t="s">
        <v>1463</v>
      </c>
      <c r="B47" s="1535" t="s">
        <v>1395</v>
      </c>
      <c r="C47" s="2121">
        <v>9.6000000000000002E-2</v>
      </c>
      <c r="D47" s="2134"/>
      <c r="E47" s="2121">
        <v>6.9000000000000006E-2</v>
      </c>
      <c r="F47" s="2133"/>
    </row>
    <row r="48" spans="1:6" ht="14.25" thickBot="1">
      <c r="A48" s="1541" t="s">
        <v>1463</v>
      </c>
      <c r="B48" s="1536" t="s">
        <v>1404</v>
      </c>
      <c r="C48" s="2123">
        <v>9.8000000000000004E-2</v>
      </c>
      <c r="D48" s="2131"/>
      <c r="E48" s="2123">
        <v>9.5000000000000001E-2</v>
      </c>
      <c r="F48" s="2132"/>
    </row>
    <row r="49" spans="1:6" ht="14.25" thickBot="1">
      <c r="A49" s="1531" t="s">
        <v>1144</v>
      </c>
      <c r="B49" s="1532" t="s">
        <v>2159</v>
      </c>
      <c r="C49" s="2119">
        <v>9.7000000000000003E-2</v>
      </c>
      <c r="D49" s="2119">
        <v>9.5000000000000001E-2</v>
      </c>
      <c r="E49" s="2119">
        <v>9.7000000000000003E-2</v>
      </c>
      <c r="F49" s="2120">
        <v>0.1</v>
      </c>
    </row>
    <row r="50" spans="1:6" ht="14.25" thickBot="1">
      <c r="A50" s="1531" t="s">
        <v>1144</v>
      </c>
      <c r="B50" s="1525" t="s">
        <v>1211</v>
      </c>
      <c r="C50" s="2121">
        <v>7.4999999999999997E-2</v>
      </c>
      <c r="D50" s="2121">
        <v>9.5000000000000001E-2</v>
      </c>
      <c r="E50" s="2121">
        <v>0.1</v>
      </c>
      <c r="F50" s="2122">
        <v>0.1</v>
      </c>
    </row>
    <row r="51" spans="1:6" ht="14.25" thickBot="1">
      <c r="A51" s="1531" t="s">
        <v>1144</v>
      </c>
      <c r="B51" s="1525" t="s">
        <v>1224</v>
      </c>
      <c r="C51" s="2121">
        <v>9.8000000000000004E-2</v>
      </c>
      <c r="D51" s="2121">
        <v>8.8999999999999996E-2</v>
      </c>
      <c r="E51" s="2121">
        <v>0.1</v>
      </c>
      <c r="F51" s="2122">
        <v>0.1</v>
      </c>
    </row>
    <row r="52" spans="1:6" ht="14.25" thickBot="1">
      <c r="A52" s="1531" t="s">
        <v>1144</v>
      </c>
      <c r="B52" s="1525" t="s">
        <v>1237</v>
      </c>
      <c r="C52" s="2121">
        <v>9.8000000000000004E-2</v>
      </c>
      <c r="D52" s="2121">
        <v>9.7000000000000003E-2</v>
      </c>
      <c r="E52" s="2121">
        <v>8.1000000000000003E-2</v>
      </c>
      <c r="F52" s="2122">
        <v>0.1</v>
      </c>
    </row>
    <row r="53" spans="1:6" ht="14.25" thickBot="1">
      <c r="A53" s="1531" t="s">
        <v>1144</v>
      </c>
      <c r="B53" s="1525" t="s">
        <v>1249</v>
      </c>
      <c r="C53" s="2121">
        <v>9.7000000000000003E-2</v>
      </c>
      <c r="D53" s="2121">
        <v>7.5999999999999998E-2</v>
      </c>
      <c r="E53" s="2121">
        <v>7.0999999999999994E-2</v>
      </c>
      <c r="F53" s="2122">
        <v>0.1</v>
      </c>
    </row>
    <row r="54" spans="1:6" ht="14.25" thickBot="1">
      <c r="A54" s="1531" t="s">
        <v>1144</v>
      </c>
      <c r="B54" s="1525" t="s">
        <v>1260</v>
      </c>
      <c r="C54" s="2121">
        <v>7.5999999999999998E-2</v>
      </c>
      <c r="D54" s="2121">
        <v>0.1</v>
      </c>
      <c r="E54" s="2121">
        <v>9.9000000000000005E-2</v>
      </c>
      <c r="F54" s="2122">
        <v>0.1</v>
      </c>
    </row>
    <row r="55" spans="1:6" ht="14.25" thickBot="1">
      <c r="A55" s="1531" t="s">
        <v>1144</v>
      </c>
      <c r="B55" s="1525" t="s">
        <v>1271</v>
      </c>
      <c r="C55" s="2121">
        <v>0.1</v>
      </c>
      <c r="D55" s="2121">
        <v>0.1</v>
      </c>
      <c r="E55" s="2121">
        <v>9.6000000000000002E-2</v>
      </c>
      <c r="F55" s="2122">
        <v>0.1</v>
      </c>
    </row>
    <row r="56" spans="1:6" ht="14.25" thickBot="1">
      <c r="A56" s="1531" t="s">
        <v>1144</v>
      </c>
      <c r="B56" s="1525" t="s">
        <v>1282</v>
      </c>
      <c r="C56" s="2121">
        <v>0.1</v>
      </c>
      <c r="D56" s="2121">
        <v>9.6000000000000002E-2</v>
      </c>
      <c r="E56" s="2121">
        <v>5.1999999999999998E-2</v>
      </c>
      <c r="F56" s="2122">
        <v>0.1</v>
      </c>
    </row>
    <row r="57" spans="1:6" ht="14.25" thickBot="1">
      <c r="A57" s="1531" t="s">
        <v>1144</v>
      </c>
      <c r="B57" s="1525" t="s">
        <v>1294</v>
      </c>
      <c r="C57" s="2121">
        <v>9.7000000000000003E-2</v>
      </c>
      <c r="D57" s="2121">
        <v>9.6000000000000002E-2</v>
      </c>
      <c r="E57" s="2121">
        <v>9.6000000000000002E-2</v>
      </c>
      <c r="F57" s="2122">
        <v>0.1</v>
      </c>
    </row>
    <row r="58" spans="1:6" ht="14.25" thickBot="1">
      <c r="A58" s="1531" t="s">
        <v>1144</v>
      </c>
      <c r="B58" s="1525" t="s">
        <v>1304</v>
      </c>
      <c r="C58" s="2121">
        <v>9.6000000000000002E-2</v>
      </c>
      <c r="D58" s="2121">
        <v>9.9000000000000005E-2</v>
      </c>
      <c r="E58" s="2121">
        <v>9.6000000000000002E-2</v>
      </c>
      <c r="F58" s="2122">
        <v>0.1</v>
      </c>
    </row>
    <row r="59" spans="1:6" ht="14.25" thickBot="1">
      <c r="A59" s="1531" t="s">
        <v>1144</v>
      </c>
      <c r="B59" s="1525" t="s">
        <v>1314</v>
      </c>
      <c r="C59" s="2121">
        <v>7.1999999999999995E-2</v>
      </c>
      <c r="D59" s="2121">
        <v>9.6000000000000002E-2</v>
      </c>
      <c r="E59" s="2121">
        <v>7.0999999999999994E-2</v>
      </c>
      <c r="F59" s="2122">
        <v>0.1</v>
      </c>
    </row>
    <row r="60" spans="1:6" ht="14.25" thickBot="1">
      <c r="A60" s="1531" t="s">
        <v>1144</v>
      </c>
      <c r="B60" s="1525" t="s">
        <v>1324</v>
      </c>
      <c r="C60" s="2121">
        <v>9.6000000000000002E-2</v>
      </c>
      <c r="D60" s="2121">
        <v>8.8999999999999996E-2</v>
      </c>
      <c r="E60" s="2121">
        <v>9.6000000000000002E-2</v>
      </c>
      <c r="F60" s="2122">
        <v>0.1</v>
      </c>
    </row>
    <row r="61" spans="1:6" ht="14.25" thickBot="1">
      <c r="A61" s="1531" t="s">
        <v>1144</v>
      </c>
      <c r="B61" s="1525" t="s">
        <v>1334</v>
      </c>
      <c r="C61" s="2121">
        <v>8.8999999999999996E-2</v>
      </c>
      <c r="D61" s="2121">
        <v>9.8000000000000004E-2</v>
      </c>
      <c r="E61" s="2121">
        <v>8.7999999999999995E-2</v>
      </c>
      <c r="F61" s="2133"/>
    </row>
    <row r="62" spans="1:6" ht="14.25" thickBot="1">
      <c r="A62" s="1531" t="s">
        <v>1144</v>
      </c>
      <c r="B62" s="1525" t="s">
        <v>1345</v>
      </c>
      <c r="C62" s="2121">
        <v>9.8000000000000004E-2</v>
      </c>
      <c r="D62" s="2121">
        <v>9.2999999999999999E-2</v>
      </c>
      <c r="E62" s="2121">
        <v>9.7000000000000003E-2</v>
      </c>
      <c r="F62" s="2133"/>
    </row>
    <row r="63" spans="1:6" ht="14.25" thickBot="1">
      <c r="A63" s="1531" t="s">
        <v>1144</v>
      </c>
      <c r="B63" s="1525" t="s">
        <v>1356</v>
      </c>
      <c r="C63" s="2121">
        <v>9.6000000000000002E-2</v>
      </c>
      <c r="D63" s="2121">
        <v>9.8000000000000004E-2</v>
      </c>
      <c r="E63" s="2121">
        <v>0.09</v>
      </c>
      <c r="F63" s="2133"/>
    </row>
    <row r="64" spans="1:6" ht="14.25" thickBot="1">
      <c r="A64" s="1531" t="s">
        <v>1144</v>
      </c>
      <c r="B64" s="1525" t="s">
        <v>1366</v>
      </c>
      <c r="C64" s="2121">
        <v>9.9000000000000005E-2</v>
      </c>
      <c r="D64" s="2121">
        <v>9.7000000000000003E-2</v>
      </c>
      <c r="E64" s="2121">
        <v>9.9000000000000005E-2</v>
      </c>
      <c r="F64" s="2133"/>
    </row>
    <row r="65" spans="1:6" ht="14.25" thickBot="1">
      <c r="A65" s="1531" t="s">
        <v>1144</v>
      </c>
      <c r="B65" s="1525" t="s">
        <v>1376</v>
      </c>
      <c r="C65" s="2121">
        <v>9.8000000000000004E-2</v>
      </c>
      <c r="D65" s="2121">
        <v>9.6000000000000002E-2</v>
      </c>
      <c r="E65" s="2121">
        <v>9.6000000000000002E-2</v>
      </c>
      <c r="F65" s="2133"/>
    </row>
    <row r="66" spans="1:6" ht="14.25" thickBot="1">
      <c r="A66" s="1531" t="s">
        <v>1144</v>
      </c>
      <c r="B66" s="1525" t="s">
        <v>1386</v>
      </c>
      <c r="C66" s="2121">
        <v>9.6000000000000002E-2</v>
      </c>
      <c r="D66" s="2121">
        <v>9.1999999999999998E-2</v>
      </c>
      <c r="E66" s="2121">
        <v>9.6000000000000002E-2</v>
      </c>
      <c r="F66" s="2133"/>
    </row>
    <row r="67" spans="1:6" ht="14.25" thickBot="1">
      <c r="A67" s="1531" t="s">
        <v>1144</v>
      </c>
      <c r="B67" s="1525" t="s">
        <v>1396</v>
      </c>
      <c r="C67" s="2121">
        <v>9.4E-2</v>
      </c>
      <c r="D67" s="2121">
        <v>0.1</v>
      </c>
      <c r="E67" s="2121">
        <v>8.7999999999999995E-2</v>
      </c>
      <c r="F67" s="2133"/>
    </row>
    <row r="68" spans="1:6" ht="14.25" thickBot="1">
      <c r="A68" s="1531" t="s">
        <v>1144</v>
      </c>
      <c r="B68" s="1525" t="s">
        <v>1405</v>
      </c>
      <c r="C68" s="2121">
        <v>0.1</v>
      </c>
      <c r="D68" s="2121">
        <v>8.7999999999999995E-2</v>
      </c>
      <c r="E68" s="2121">
        <v>9.7000000000000003E-2</v>
      </c>
      <c r="F68" s="2133"/>
    </row>
    <row r="69" spans="1:6" ht="14.25" thickBot="1">
      <c r="A69" s="1531" t="s">
        <v>1144</v>
      </c>
      <c r="B69" s="1525" t="s">
        <v>1414</v>
      </c>
      <c r="C69" s="2121">
        <v>6.4000000000000001E-2</v>
      </c>
      <c r="D69" s="2121">
        <v>0.1</v>
      </c>
      <c r="E69" s="2121">
        <v>0.1</v>
      </c>
      <c r="F69" s="2133"/>
    </row>
    <row r="70" spans="1:6" ht="14.25" thickBot="1">
      <c r="A70" s="1531" t="s">
        <v>1144</v>
      </c>
      <c r="B70" s="1525" t="s">
        <v>1422</v>
      </c>
      <c r="C70" s="2121">
        <v>9.0999999999999998E-2</v>
      </c>
      <c r="D70" s="2134"/>
      <c r="E70" s="2134"/>
      <c r="F70" s="2133"/>
    </row>
    <row r="71" spans="1:6" ht="14.25" thickBot="1">
      <c r="A71" s="1531" t="s">
        <v>1144</v>
      </c>
      <c r="B71" s="1525" t="s">
        <v>1429</v>
      </c>
      <c r="C71" s="2121">
        <v>0.1</v>
      </c>
      <c r="D71" s="2134"/>
      <c r="E71" s="2134"/>
      <c r="F71" s="2133"/>
    </row>
    <row r="72" spans="1:6" ht="14.25" thickBot="1">
      <c r="A72" s="1531" t="s">
        <v>1144</v>
      </c>
      <c r="B72" s="1525" t="s">
        <v>2160</v>
      </c>
      <c r="C72" s="2134"/>
      <c r="D72" s="2134"/>
      <c r="E72" s="2134"/>
      <c r="F72" s="2122">
        <v>0.05</v>
      </c>
    </row>
    <row r="73" spans="1:6" ht="14.25" thickBot="1">
      <c r="A73" s="1531" t="s">
        <v>1144</v>
      </c>
      <c r="B73" s="1525" t="s">
        <v>2161</v>
      </c>
      <c r="C73" s="2134"/>
      <c r="D73" s="2134"/>
      <c r="E73" s="2134"/>
      <c r="F73" s="2122">
        <v>0.05</v>
      </c>
    </row>
    <row r="74" spans="1:6" ht="14.25" thickBot="1">
      <c r="A74" s="1531" t="s">
        <v>1144</v>
      </c>
      <c r="B74" s="1525" t="s">
        <v>2162</v>
      </c>
      <c r="C74" s="2134"/>
      <c r="D74" s="2134"/>
      <c r="E74" s="2134"/>
      <c r="F74" s="2122">
        <v>0.05</v>
      </c>
    </row>
    <row r="75" spans="1:6" ht="14.25" thickBot="1">
      <c r="A75" s="1541" t="s">
        <v>1144</v>
      </c>
      <c r="B75" s="1537" t="s">
        <v>2163</v>
      </c>
      <c r="C75" s="2131"/>
      <c r="D75" s="2131"/>
      <c r="E75" s="2131"/>
      <c r="F75" s="2124">
        <v>0.05</v>
      </c>
    </row>
    <row r="76" spans="1:6" ht="14.25" thickBot="1">
      <c r="A76" s="1531" t="s">
        <v>1544</v>
      </c>
      <c r="B76" s="1532" t="s">
        <v>2164</v>
      </c>
      <c r="C76" s="2119">
        <v>0.1</v>
      </c>
      <c r="D76" s="2119">
        <v>0.1</v>
      </c>
      <c r="E76" s="2119">
        <v>0.1</v>
      </c>
      <c r="F76" s="2120">
        <v>0.1</v>
      </c>
    </row>
    <row r="77" spans="1:6" ht="14.25" thickBot="1">
      <c r="A77" s="1531" t="s">
        <v>1544</v>
      </c>
      <c r="B77" s="1525" t="s">
        <v>1212</v>
      </c>
      <c r="C77" s="2121">
        <v>8.7999999999999995E-2</v>
      </c>
      <c r="D77" s="2121">
        <v>8.6999999999999994E-2</v>
      </c>
      <c r="E77" s="2121">
        <v>7.9000000000000001E-2</v>
      </c>
      <c r="F77" s="2122">
        <v>0.1</v>
      </c>
    </row>
    <row r="78" spans="1:6" ht="14.25" thickBot="1">
      <c r="A78" s="1531" t="s">
        <v>1544</v>
      </c>
      <c r="B78" s="1525" t="s">
        <v>1225</v>
      </c>
      <c r="C78" s="2121">
        <v>8.6999999999999994E-2</v>
      </c>
      <c r="D78" s="2121">
        <v>8.4000000000000005E-2</v>
      </c>
      <c r="E78" s="2121">
        <v>9.6000000000000002E-2</v>
      </c>
      <c r="F78" s="2122">
        <v>0.1</v>
      </c>
    </row>
    <row r="79" spans="1:6" ht="14.25" thickBot="1">
      <c r="A79" s="1531" t="s">
        <v>1544</v>
      </c>
      <c r="B79" s="1525" t="s">
        <v>1238</v>
      </c>
      <c r="C79" s="2121">
        <v>9.8000000000000004E-2</v>
      </c>
      <c r="D79" s="2121">
        <v>9.8000000000000004E-2</v>
      </c>
      <c r="E79" s="2121">
        <v>9.0999999999999998E-2</v>
      </c>
      <c r="F79" s="2122">
        <v>0.1</v>
      </c>
    </row>
    <row r="80" spans="1:6" ht="14.25" thickBot="1">
      <c r="A80" s="1531" t="s">
        <v>1544</v>
      </c>
      <c r="B80" s="1525" t="s">
        <v>1250</v>
      </c>
      <c r="C80" s="2121">
        <v>9.6000000000000002E-2</v>
      </c>
      <c r="D80" s="2121">
        <v>9.6000000000000002E-2</v>
      </c>
      <c r="E80" s="2121">
        <v>0.1</v>
      </c>
      <c r="F80" s="2122">
        <v>0.1</v>
      </c>
    </row>
    <row r="81" spans="1:6" ht="14.25" thickBot="1">
      <c r="A81" s="1531" t="s">
        <v>1544</v>
      </c>
      <c r="B81" s="1525" t="s">
        <v>1261</v>
      </c>
      <c r="C81" s="2121">
        <v>9.9000000000000005E-2</v>
      </c>
      <c r="D81" s="2121">
        <v>9.9000000000000005E-2</v>
      </c>
      <c r="E81" s="2121">
        <v>9.8000000000000004E-2</v>
      </c>
      <c r="F81" s="2122">
        <v>0.1</v>
      </c>
    </row>
    <row r="82" spans="1:6" ht="14.25" thickBot="1">
      <c r="A82" s="1531" t="s">
        <v>1544</v>
      </c>
      <c r="B82" s="1525" t="s">
        <v>1272</v>
      </c>
      <c r="C82" s="2121">
        <v>9.9000000000000005E-2</v>
      </c>
      <c r="D82" s="2121">
        <v>9.9000000000000005E-2</v>
      </c>
      <c r="E82" s="2121">
        <v>9.7000000000000003E-2</v>
      </c>
      <c r="F82" s="2122">
        <v>0.1</v>
      </c>
    </row>
    <row r="83" spans="1:6" ht="14.25" thickBot="1">
      <c r="A83" s="1531" t="s">
        <v>1544</v>
      </c>
      <c r="B83" s="1525" t="s">
        <v>1283</v>
      </c>
      <c r="C83" s="2121">
        <v>9.8000000000000004E-2</v>
      </c>
      <c r="D83" s="2121">
        <v>9.8000000000000004E-2</v>
      </c>
      <c r="E83" s="2121">
        <v>9.8000000000000004E-2</v>
      </c>
      <c r="F83" s="2122">
        <v>0.1</v>
      </c>
    </row>
    <row r="84" spans="1:6" ht="14.25" thickBot="1">
      <c r="A84" s="1531" t="s">
        <v>1544</v>
      </c>
      <c r="B84" s="1525" t="s">
        <v>1295</v>
      </c>
      <c r="C84" s="2121">
        <v>9.9000000000000005E-2</v>
      </c>
      <c r="D84" s="2121">
        <v>9.9000000000000005E-2</v>
      </c>
      <c r="E84" s="2121">
        <v>9.9000000000000005E-2</v>
      </c>
      <c r="F84" s="2122">
        <v>0.1</v>
      </c>
    </row>
    <row r="85" spans="1:6" ht="14.25" thickBot="1">
      <c r="A85" s="1531" t="s">
        <v>1544</v>
      </c>
      <c r="B85" s="1525" t="s">
        <v>1305</v>
      </c>
      <c r="C85" s="2121">
        <v>9.9000000000000005E-2</v>
      </c>
      <c r="D85" s="2121">
        <v>9.9000000000000005E-2</v>
      </c>
      <c r="E85" s="2121">
        <v>9.9000000000000005E-2</v>
      </c>
      <c r="F85" s="2122">
        <v>0.1</v>
      </c>
    </row>
    <row r="86" spans="1:6" ht="14.25" thickBot="1">
      <c r="A86" s="1531" t="s">
        <v>1544</v>
      </c>
      <c r="B86" s="1525" t="s">
        <v>1315</v>
      </c>
      <c r="C86" s="2121">
        <v>0.1</v>
      </c>
      <c r="D86" s="2121">
        <v>0.1</v>
      </c>
      <c r="E86" s="2121">
        <v>7.6999999999999999E-2</v>
      </c>
      <c r="F86" s="2122">
        <v>0.1</v>
      </c>
    </row>
    <row r="87" spans="1:6" ht="14.25" thickBot="1">
      <c r="A87" s="1531" t="s">
        <v>1544</v>
      </c>
      <c r="B87" s="1525" t="s">
        <v>1325</v>
      </c>
      <c r="C87" s="2121">
        <v>0.1</v>
      </c>
      <c r="D87" s="2121">
        <v>0.1</v>
      </c>
      <c r="E87" s="2121">
        <v>9.8000000000000004E-2</v>
      </c>
      <c r="F87" s="2133"/>
    </row>
    <row r="88" spans="1:6" ht="14.25" thickBot="1">
      <c r="A88" s="1531" t="s">
        <v>1544</v>
      </c>
      <c r="B88" s="1525" t="s">
        <v>1335</v>
      </c>
      <c r="C88" s="2121">
        <v>9.1999999999999998E-2</v>
      </c>
      <c r="D88" s="2121">
        <v>8.5000000000000006E-2</v>
      </c>
      <c r="E88" s="2121">
        <v>9.6000000000000002E-2</v>
      </c>
      <c r="F88" s="2133"/>
    </row>
    <row r="89" spans="1:6" ht="14.25" thickBot="1">
      <c r="A89" s="1531" t="s">
        <v>1544</v>
      </c>
      <c r="B89" s="1525" t="s">
        <v>1346</v>
      </c>
      <c r="C89" s="2121">
        <v>0.1</v>
      </c>
      <c r="D89" s="2121">
        <v>0.1</v>
      </c>
      <c r="E89" s="2121">
        <v>9.7000000000000003E-2</v>
      </c>
      <c r="F89" s="2133"/>
    </row>
    <row r="90" spans="1:6" ht="14.25" thickBot="1">
      <c r="A90" s="1531" t="s">
        <v>1544</v>
      </c>
      <c r="B90" s="1525" t="s">
        <v>1357</v>
      </c>
      <c r="C90" s="2121">
        <v>9.8000000000000004E-2</v>
      </c>
      <c r="D90" s="2121">
        <v>9.8000000000000004E-2</v>
      </c>
      <c r="E90" s="2121">
        <v>8.7999999999999995E-2</v>
      </c>
      <c r="F90" s="2133"/>
    </row>
    <row r="91" spans="1:6" ht="14.25" thickBot="1">
      <c r="A91" s="1531" t="s">
        <v>1544</v>
      </c>
      <c r="B91" s="1525" t="s">
        <v>1367</v>
      </c>
      <c r="C91" s="2121">
        <v>9.9000000000000005E-2</v>
      </c>
      <c r="D91" s="2121">
        <v>9.9000000000000005E-2</v>
      </c>
      <c r="E91" s="2121">
        <v>9.0999999999999998E-2</v>
      </c>
      <c r="F91" s="2133"/>
    </row>
    <row r="92" spans="1:6" ht="14.25" thickBot="1">
      <c r="A92" s="1531" t="s">
        <v>1544</v>
      </c>
      <c r="B92" s="1525" t="s">
        <v>1377</v>
      </c>
      <c r="C92" s="2121">
        <v>9.6000000000000002E-2</v>
      </c>
      <c r="D92" s="2121">
        <v>9.6000000000000002E-2</v>
      </c>
      <c r="E92" s="2121">
        <v>7.2999999999999995E-2</v>
      </c>
      <c r="F92" s="2133"/>
    </row>
    <row r="93" spans="1:6" ht="14.25" thickBot="1">
      <c r="A93" s="1531" t="s">
        <v>1544</v>
      </c>
      <c r="B93" s="1525" t="s">
        <v>1387</v>
      </c>
      <c r="C93" s="2121">
        <v>9.6000000000000002E-2</v>
      </c>
      <c r="D93" s="2121">
        <v>9.6000000000000002E-2</v>
      </c>
      <c r="E93" s="2121">
        <v>9.9000000000000005E-2</v>
      </c>
      <c r="F93" s="2133"/>
    </row>
    <row r="94" spans="1:6" ht="14.25" thickBot="1">
      <c r="A94" s="1531" t="s">
        <v>1544</v>
      </c>
      <c r="B94" s="1525" t="s">
        <v>1397</v>
      </c>
      <c r="C94" s="2121">
        <v>7.5999999999999998E-2</v>
      </c>
      <c r="D94" s="2121">
        <v>7.3999999999999996E-2</v>
      </c>
      <c r="E94" s="2121">
        <v>9.7000000000000003E-2</v>
      </c>
      <c r="F94" s="2133"/>
    </row>
    <row r="95" spans="1:6" ht="14.25" thickBot="1">
      <c r="A95" s="1531" t="s">
        <v>1544</v>
      </c>
      <c r="B95" s="1525" t="s">
        <v>1406</v>
      </c>
      <c r="C95" s="2121">
        <v>9.9000000000000005E-2</v>
      </c>
      <c r="D95" s="2121">
        <v>9.4E-2</v>
      </c>
      <c r="E95" s="2121">
        <v>9.6000000000000002E-2</v>
      </c>
      <c r="F95" s="2133"/>
    </row>
    <row r="96" spans="1:6" ht="14.25" thickBot="1">
      <c r="A96" s="1531" t="s">
        <v>1544</v>
      </c>
      <c r="B96" s="1525" t="s">
        <v>1415</v>
      </c>
      <c r="C96" s="2121">
        <v>9.9000000000000005E-2</v>
      </c>
      <c r="D96" s="2121">
        <v>9.9000000000000005E-2</v>
      </c>
      <c r="E96" s="2121">
        <v>9.9000000000000005E-2</v>
      </c>
      <c r="F96" s="2133"/>
    </row>
    <row r="97" spans="1:6" ht="14.25" thickBot="1">
      <c r="A97" s="1531" t="s">
        <v>1544</v>
      </c>
      <c r="B97" s="1525" t="s">
        <v>1423</v>
      </c>
      <c r="C97" s="2121">
        <v>9.8000000000000004E-2</v>
      </c>
      <c r="D97" s="2121">
        <v>9.8000000000000004E-2</v>
      </c>
      <c r="E97" s="2121">
        <v>9.7000000000000003E-2</v>
      </c>
      <c r="F97" s="2133"/>
    </row>
    <row r="98" spans="1:6" ht="14.25" thickBot="1">
      <c r="A98" s="1531" t="s">
        <v>1544</v>
      </c>
      <c r="B98" s="1525" t="s">
        <v>1430</v>
      </c>
      <c r="C98" s="2121">
        <v>0.1</v>
      </c>
      <c r="D98" s="2121">
        <v>0.1</v>
      </c>
      <c r="E98" s="2121">
        <v>9.7000000000000003E-2</v>
      </c>
      <c r="F98" s="2133"/>
    </row>
    <row r="99" spans="1:6" ht="14.25" thickBot="1">
      <c r="A99" s="1531" t="s">
        <v>1544</v>
      </c>
      <c r="B99" s="1525" t="s">
        <v>1437</v>
      </c>
      <c r="C99" s="2121">
        <v>0.1</v>
      </c>
      <c r="D99" s="2121">
        <v>0.1</v>
      </c>
      <c r="E99" s="2134"/>
      <c r="F99" s="2133"/>
    </row>
    <row r="100" spans="1:6" ht="14.25" thickBot="1">
      <c r="A100" s="1531" t="s">
        <v>1544</v>
      </c>
      <c r="B100" s="1525" t="s">
        <v>1444</v>
      </c>
      <c r="C100" s="2121">
        <v>0.09</v>
      </c>
      <c r="D100" s="2121">
        <v>8.8999999999999996E-2</v>
      </c>
      <c r="E100" s="2134"/>
      <c r="F100" s="2133"/>
    </row>
    <row r="101" spans="1:6" ht="14.25" thickBot="1">
      <c r="A101" s="1531" t="s">
        <v>1544</v>
      </c>
      <c r="B101" s="1525" t="s">
        <v>1451</v>
      </c>
      <c r="C101" s="2121">
        <v>9.8000000000000004E-2</v>
      </c>
      <c r="D101" s="2121">
        <v>9.7000000000000003E-2</v>
      </c>
      <c r="E101" s="2134"/>
      <c r="F101" s="2133"/>
    </row>
    <row r="102" spans="1:6" ht="14.25" thickBot="1">
      <c r="A102" s="1531" t="s">
        <v>1544</v>
      </c>
      <c r="B102" s="1525" t="s">
        <v>2165</v>
      </c>
      <c r="C102" s="2134"/>
      <c r="D102" s="2134"/>
      <c r="E102" s="2134"/>
      <c r="F102" s="2122">
        <v>0.05</v>
      </c>
    </row>
    <row r="103" spans="1:6" ht="24.75" thickBot="1">
      <c r="A103" s="1531" t="s">
        <v>1544</v>
      </c>
      <c r="B103" s="1525" t="s">
        <v>2166</v>
      </c>
      <c r="C103" s="2134"/>
      <c r="D103" s="2134"/>
      <c r="E103" s="2134"/>
      <c r="F103" s="2122">
        <v>0.05</v>
      </c>
    </row>
    <row r="104" spans="1:6" ht="14.25" thickBot="1">
      <c r="A104" s="1531" t="s">
        <v>1544</v>
      </c>
      <c r="B104" s="1525" t="s">
        <v>2167</v>
      </c>
      <c r="C104" s="2134"/>
      <c r="D104" s="2134"/>
      <c r="E104" s="2134"/>
      <c r="F104" s="2122">
        <v>0.05</v>
      </c>
    </row>
    <row r="105" spans="1:6" ht="14.25" thickBot="1">
      <c r="A105" s="1531" t="s">
        <v>1544</v>
      </c>
      <c r="B105" s="1525" t="s">
        <v>2168</v>
      </c>
      <c r="C105" s="2134"/>
      <c r="D105" s="2134"/>
      <c r="E105" s="2134"/>
      <c r="F105" s="2122">
        <v>0.05</v>
      </c>
    </row>
    <row r="106" spans="1:6" ht="14.25" thickBot="1">
      <c r="A106" s="1531" t="s">
        <v>1544</v>
      </c>
      <c r="B106" s="1525" t="s">
        <v>2169</v>
      </c>
      <c r="C106" s="2134"/>
      <c r="D106" s="2134"/>
      <c r="E106" s="2134"/>
      <c r="F106" s="2122">
        <v>0.05</v>
      </c>
    </row>
    <row r="107" spans="1:6" ht="24.75" thickBot="1">
      <c r="A107" s="1531" t="s">
        <v>1544</v>
      </c>
      <c r="B107" s="1525" t="s">
        <v>2170</v>
      </c>
      <c r="C107" s="2134"/>
      <c r="D107" s="2134"/>
      <c r="E107" s="2134"/>
      <c r="F107" s="2122">
        <v>0.05</v>
      </c>
    </row>
    <row r="108" spans="1:6" ht="24.75" thickBot="1">
      <c r="A108" s="1531" t="s">
        <v>1544</v>
      </c>
      <c r="B108" s="1525" t="s">
        <v>2171</v>
      </c>
      <c r="C108" s="2134"/>
      <c r="D108" s="2134"/>
      <c r="E108" s="2134"/>
      <c r="F108" s="2122">
        <v>0.05</v>
      </c>
    </row>
    <row r="109" spans="1:6" ht="24.75" thickBot="1">
      <c r="A109" s="1541" t="s">
        <v>1544</v>
      </c>
      <c r="B109" s="1537" t="s">
        <v>2172</v>
      </c>
      <c r="C109" s="2131"/>
      <c r="D109" s="2131"/>
      <c r="E109" s="2131"/>
      <c r="F109" s="2124">
        <v>0.05</v>
      </c>
    </row>
    <row r="110" spans="1:6" ht="14.25" thickBot="1">
      <c r="A110" s="1531" t="s">
        <v>203</v>
      </c>
      <c r="B110" s="1532" t="s">
        <v>2173</v>
      </c>
      <c r="C110" s="2119">
        <v>0.129</v>
      </c>
      <c r="D110" s="2119">
        <v>0.129</v>
      </c>
      <c r="E110" s="2119">
        <v>0.126</v>
      </c>
      <c r="F110" s="2120">
        <v>0.13</v>
      </c>
    </row>
    <row r="111" spans="1:6" ht="14.25" thickBot="1">
      <c r="A111" s="1531" t="s">
        <v>203</v>
      </c>
      <c r="B111" s="1525" t="s">
        <v>1213</v>
      </c>
      <c r="C111" s="2121">
        <v>0.11</v>
      </c>
      <c r="D111" s="2121">
        <v>0.11</v>
      </c>
      <c r="E111" s="2121">
        <v>9.9000000000000005E-2</v>
      </c>
      <c r="F111" s="2122">
        <v>0.128</v>
      </c>
    </row>
    <row r="112" spans="1:6" ht="14.25" thickBot="1">
      <c r="A112" s="1531" t="s">
        <v>203</v>
      </c>
      <c r="B112" s="1525" t="s">
        <v>1226</v>
      </c>
      <c r="C112" s="2121">
        <v>0.125</v>
      </c>
      <c r="D112" s="2121">
        <v>0.125</v>
      </c>
      <c r="E112" s="2121">
        <v>0.12</v>
      </c>
      <c r="F112" s="2122">
        <v>0.125</v>
      </c>
    </row>
    <row r="113" spans="1:6" ht="14.25" thickBot="1">
      <c r="A113" s="1531" t="s">
        <v>203</v>
      </c>
      <c r="B113" s="1525" t="s">
        <v>1239</v>
      </c>
      <c r="C113" s="2121">
        <v>0.13</v>
      </c>
      <c r="D113" s="2121">
        <v>0.13</v>
      </c>
      <c r="E113" s="2121">
        <v>0.13</v>
      </c>
      <c r="F113" s="2122">
        <v>0.13</v>
      </c>
    </row>
    <row r="114" spans="1:6" ht="14.25" thickBot="1">
      <c r="A114" s="1531" t="s">
        <v>203</v>
      </c>
      <c r="B114" s="1525" t="s">
        <v>1251</v>
      </c>
      <c r="C114" s="2121">
        <v>0.123</v>
      </c>
      <c r="D114" s="2121">
        <v>0.123</v>
      </c>
      <c r="E114" s="2121">
        <v>0.12</v>
      </c>
      <c r="F114" s="2122">
        <v>0.13</v>
      </c>
    </row>
    <row r="115" spans="1:6" ht="14.25" thickBot="1">
      <c r="A115" s="1531" t="s">
        <v>203</v>
      </c>
      <c r="B115" s="1525" t="s">
        <v>1262</v>
      </c>
      <c r="C115" s="2121">
        <v>0.125</v>
      </c>
      <c r="D115" s="2121">
        <v>0.125</v>
      </c>
      <c r="E115" s="2121">
        <v>0.11700000000000001</v>
      </c>
      <c r="F115" s="2122">
        <v>0.13</v>
      </c>
    </row>
    <row r="116" spans="1:6" ht="14.25" thickBot="1">
      <c r="A116" s="1531" t="s">
        <v>203</v>
      </c>
      <c r="B116" s="1525" t="s">
        <v>1273</v>
      </c>
      <c r="C116" s="2121">
        <v>0.11700000000000001</v>
      </c>
      <c r="D116" s="2121">
        <v>0.11700000000000001</v>
      </c>
      <c r="E116" s="2121">
        <v>8.7999999999999995E-2</v>
      </c>
      <c r="F116" s="2122">
        <v>0.13</v>
      </c>
    </row>
    <row r="117" spans="1:6" ht="14.25" thickBot="1">
      <c r="A117" s="1531" t="s">
        <v>203</v>
      </c>
      <c r="B117" s="1525" t="s">
        <v>1284</v>
      </c>
      <c r="C117" s="2121">
        <v>0.13</v>
      </c>
      <c r="D117" s="2121">
        <v>0.13</v>
      </c>
      <c r="E117" s="2121">
        <v>0.129</v>
      </c>
      <c r="F117" s="2122">
        <v>0.13</v>
      </c>
    </row>
    <row r="118" spans="1:6" ht="14.25" thickBot="1">
      <c r="A118" s="1531" t="s">
        <v>203</v>
      </c>
      <c r="B118" s="1525" t="s">
        <v>1296</v>
      </c>
      <c r="C118" s="2121">
        <v>0.123</v>
      </c>
      <c r="D118" s="2121">
        <v>0.123</v>
      </c>
      <c r="E118" s="2121">
        <v>0.11600000000000001</v>
      </c>
      <c r="F118" s="2122">
        <v>0.13</v>
      </c>
    </row>
    <row r="119" spans="1:6" ht="14.25" thickBot="1">
      <c r="A119" s="1531" t="s">
        <v>203</v>
      </c>
      <c r="B119" s="1525" t="s">
        <v>1306</v>
      </c>
      <c r="C119" s="2121">
        <v>0.127</v>
      </c>
      <c r="D119" s="2121">
        <v>0.127</v>
      </c>
      <c r="E119" s="2121">
        <v>0.124</v>
      </c>
      <c r="F119" s="2122">
        <v>0.13</v>
      </c>
    </row>
    <row r="120" spans="1:6" ht="14.25" thickBot="1">
      <c r="A120" s="1531" t="s">
        <v>203</v>
      </c>
      <c r="B120" s="1525" t="s">
        <v>1316</v>
      </c>
      <c r="C120" s="2121">
        <v>0.125</v>
      </c>
      <c r="D120" s="2121">
        <v>0.125</v>
      </c>
      <c r="E120" s="2121">
        <v>0.122</v>
      </c>
      <c r="F120" s="2122">
        <v>0.13</v>
      </c>
    </row>
    <row r="121" spans="1:6" ht="14.25" thickBot="1">
      <c r="A121" s="1531" t="s">
        <v>203</v>
      </c>
      <c r="B121" s="1525" t="s">
        <v>1326</v>
      </c>
      <c r="C121" s="2121">
        <v>0.13</v>
      </c>
      <c r="D121" s="2121">
        <v>0.13</v>
      </c>
      <c r="E121" s="2121">
        <v>0.13</v>
      </c>
      <c r="F121" s="2122">
        <v>0.13</v>
      </c>
    </row>
    <row r="122" spans="1:6" ht="14.25" thickBot="1">
      <c r="A122" s="1531" t="s">
        <v>203</v>
      </c>
      <c r="B122" s="1525" t="s">
        <v>1336</v>
      </c>
      <c r="C122" s="2121">
        <v>0.13</v>
      </c>
      <c r="D122" s="2121">
        <v>0.13</v>
      </c>
      <c r="E122" s="2121">
        <v>0.125</v>
      </c>
      <c r="F122" s="2122">
        <v>0.13</v>
      </c>
    </row>
    <row r="123" spans="1:6" ht="14.25" thickBot="1">
      <c r="A123" s="1531" t="s">
        <v>203</v>
      </c>
      <c r="B123" s="1525" t="s">
        <v>1347</v>
      </c>
      <c r="C123" s="2121">
        <v>0.129</v>
      </c>
      <c r="D123" s="2121">
        <v>0.129</v>
      </c>
      <c r="E123" s="2121">
        <v>0.123</v>
      </c>
      <c r="F123" s="2122">
        <v>0.13</v>
      </c>
    </row>
    <row r="124" spans="1:6" ht="14.25" thickBot="1">
      <c r="A124" s="1531" t="s">
        <v>203</v>
      </c>
      <c r="B124" s="1525" t="s">
        <v>1358</v>
      </c>
      <c r="C124" s="2121">
        <v>0.10199999999999999</v>
      </c>
      <c r="D124" s="2121">
        <v>0.10100000000000001</v>
      </c>
      <c r="E124" s="2121">
        <v>0.08</v>
      </c>
      <c r="F124" s="2133"/>
    </row>
    <row r="125" spans="1:6" ht="14.25" thickBot="1">
      <c r="A125" s="1531" t="s">
        <v>203</v>
      </c>
      <c r="B125" s="1525" t="s">
        <v>1368</v>
      </c>
      <c r="C125" s="2121">
        <v>0.13</v>
      </c>
      <c r="D125" s="2121">
        <v>0.13</v>
      </c>
      <c r="E125" s="2121">
        <v>0.129</v>
      </c>
      <c r="F125" s="2133"/>
    </row>
    <row r="126" spans="1:6" ht="14.25" thickBot="1">
      <c r="A126" s="1531" t="s">
        <v>203</v>
      </c>
      <c r="B126" s="1525" t="s">
        <v>1378</v>
      </c>
      <c r="C126" s="2121">
        <v>0.13</v>
      </c>
      <c r="D126" s="2121">
        <v>0.13</v>
      </c>
      <c r="E126" s="2121">
        <v>0.126</v>
      </c>
      <c r="F126" s="2133"/>
    </row>
    <row r="127" spans="1:6" ht="14.25" thickBot="1">
      <c r="A127" s="1531" t="s">
        <v>203</v>
      </c>
      <c r="B127" s="1525" t="s">
        <v>1388</v>
      </c>
      <c r="C127" s="2121">
        <v>0.125</v>
      </c>
      <c r="D127" s="2121">
        <v>0.125</v>
      </c>
      <c r="E127" s="2121">
        <v>0.121</v>
      </c>
      <c r="F127" s="2133"/>
    </row>
    <row r="128" spans="1:6" ht="14.25" thickBot="1">
      <c r="A128" s="1531" t="s">
        <v>203</v>
      </c>
      <c r="B128" s="1525" t="s">
        <v>1398</v>
      </c>
      <c r="C128" s="2121">
        <v>0.12</v>
      </c>
      <c r="D128" s="2121">
        <v>0.12</v>
      </c>
      <c r="E128" s="2121">
        <v>0.105</v>
      </c>
      <c r="F128" s="2133"/>
    </row>
    <row r="129" spans="1:6" ht="14.25" thickBot="1">
      <c r="A129" s="1531" t="s">
        <v>203</v>
      </c>
      <c r="B129" s="1525" t="s">
        <v>1407</v>
      </c>
      <c r="C129" s="2121">
        <v>0.13</v>
      </c>
      <c r="D129" s="2121">
        <v>0.13</v>
      </c>
      <c r="E129" s="2121">
        <v>0.126</v>
      </c>
      <c r="F129" s="2133"/>
    </row>
    <row r="130" spans="1:6" ht="14.25" thickBot="1">
      <c r="A130" s="1531" t="s">
        <v>203</v>
      </c>
      <c r="B130" s="1525" t="s">
        <v>1416</v>
      </c>
      <c r="C130" s="2121">
        <v>0.125</v>
      </c>
      <c r="D130" s="2121">
        <v>0.125</v>
      </c>
      <c r="E130" s="2121">
        <v>0.122</v>
      </c>
      <c r="F130" s="2133"/>
    </row>
    <row r="131" spans="1:6" ht="14.25" thickBot="1">
      <c r="A131" s="1531" t="s">
        <v>203</v>
      </c>
      <c r="B131" s="1525" t="s">
        <v>1424</v>
      </c>
      <c r="C131" s="2121">
        <v>0.127</v>
      </c>
      <c r="D131" s="2121">
        <v>0.126</v>
      </c>
      <c r="E131" s="2121">
        <v>0.123</v>
      </c>
      <c r="F131" s="2133"/>
    </row>
    <row r="132" spans="1:6" ht="14.25" thickBot="1">
      <c r="A132" s="1531" t="s">
        <v>203</v>
      </c>
      <c r="B132" s="1525" t="s">
        <v>1431</v>
      </c>
      <c r="C132" s="2121">
        <v>9.0999999999999998E-2</v>
      </c>
      <c r="D132" s="2121">
        <v>0.121</v>
      </c>
      <c r="E132" s="2121">
        <v>9.9000000000000005E-2</v>
      </c>
      <c r="F132" s="2133"/>
    </row>
    <row r="133" spans="1:6" ht="14.25" thickBot="1">
      <c r="A133" s="1531" t="s">
        <v>203</v>
      </c>
      <c r="B133" s="1525" t="s">
        <v>1438</v>
      </c>
      <c r="C133" s="2121">
        <v>0.13</v>
      </c>
      <c r="D133" s="2121">
        <v>0.13</v>
      </c>
      <c r="E133" s="2121">
        <v>0.129</v>
      </c>
      <c r="F133" s="2133"/>
    </row>
    <row r="134" spans="1:6" ht="14.25" thickBot="1">
      <c r="A134" s="1531" t="s">
        <v>203</v>
      </c>
      <c r="B134" s="1525" t="s">
        <v>2174</v>
      </c>
      <c r="C134" s="2121">
        <v>6.8000000000000005E-2</v>
      </c>
      <c r="D134" s="2121">
        <v>6.5000000000000002E-2</v>
      </c>
      <c r="E134" s="2121">
        <v>6.5000000000000002E-2</v>
      </c>
      <c r="F134" s="2122">
        <v>0.13</v>
      </c>
    </row>
    <row r="135" spans="1:6" ht="14.25" thickBot="1">
      <c r="A135" s="1531" t="s">
        <v>203</v>
      </c>
      <c r="B135" s="1525" t="s">
        <v>1452</v>
      </c>
      <c r="C135" s="2121">
        <v>0.123</v>
      </c>
      <c r="D135" s="2121">
        <v>0.123</v>
      </c>
      <c r="E135" s="2121">
        <v>0.11</v>
      </c>
      <c r="F135" s="2133"/>
    </row>
    <row r="136" spans="1:6" ht="14.25" thickBot="1">
      <c r="A136" s="1531" t="s">
        <v>203</v>
      </c>
      <c r="B136" s="1525" t="s">
        <v>1459</v>
      </c>
      <c r="C136" s="2121">
        <v>0.13</v>
      </c>
      <c r="D136" s="2121">
        <v>0.13</v>
      </c>
      <c r="E136" s="2121">
        <v>0.125</v>
      </c>
      <c r="F136" s="2133"/>
    </row>
    <row r="137" spans="1:6" ht="14.25" thickBot="1">
      <c r="A137" s="1531" t="s">
        <v>203</v>
      </c>
      <c r="B137" s="1525" t="s">
        <v>1466</v>
      </c>
      <c r="C137" s="2121">
        <v>0.121</v>
      </c>
      <c r="D137" s="2121">
        <v>0.122</v>
      </c>
      <c r="E137" s="2121">
        <v>0.115</v>
      </c>
      <c r="F137" s="2133"/>
    </row>
    <row r="138" spans="1:6" ht="14.25" thickBot="1">
      <c r="A138" s="1531" t="s">
        <v>203</v>
      </c>
      <c r="B138" s="1525" t="s">
        <v>2175</v>
      </c>
      <c r="C138" s="2121">
        <v>0.105</v>
      </c>
      <c r="D138" s="2121">
        <v>0.125</v>
      </c>
      <c r="E138" s="2121">
        <v>0.112</v>
      </c>
      <c r="F138" s="2133"/>
    </row>
    <row r="139" spans="1:6" ht="14.25" thickBot="1">
      <c r="A139" s="1531" t="s">
        <v>203</v>
      </c>
      <c r="B139" s="1525" t="s">
        <v>2176</v>
      </c>
      <c r="C139" s="2121">
        <v>0.127</v>
      </c>
      <c r="D139" s="2121">
        <v>0.127</v>
      </c>
      <c r="E139" s="2121">
        <v>0.122</v>
      </c>
      <c r="F139" s="2122">
        <v>0.13</v>
      </c>
    </row>
    <row r="140" spans="1:6" ht="14.25" thickBot="1">
      <c r="A140" s="1531" t="s">
        <v>203</v>
      </c>
      <c r="B140" s="1525" t="s">
        <v>2177</v>
      </c>
      <c r="C140" s="2121">
        <v>0.125</v>
      </c>
      <c r="D140" s="2121">
        <v>0.125</v>
      </c>
      <c r="E140" s="2121">
        <v>0.11899999999999999</v>
      </c>
      <c r="F140" s="2122">
        <v>0.13</v>
      </c>
    </row>
    <row r="141" spans="1:6" ht="14.25" thickBot="1">
      <c r="A141" s="1531" t="s">
        <v>203</v>
      </c>
      <c r="B141" s="1525" t="s">
        <v>1485</v>
      </c>
      <c r="C141" s="2121">
        <v>0.125</v>
      </c>
      <c r="D141" s="2121">
        <v>0.125</v>
      </c>
      <c r="E141" s="2121">
        <v>0.11700000000000001</v>
      </c>
      <c r="F141" s="2133"/>
    </row>
    <row r="142" spans="1:6" ht="14.25" thickBot="1">
      <c r="A142" s="1531" t="s">
        <v>203</v>
      </c>
      <c r="B142" s="1525" t="s">
        <v>1490</v>
      </c>
      <c r="C142" s="2121">
        <v>0.125</v>
      </c>
      <c r="D142" s="2121">
        <v>0.125</v>
      </c>
      <c r="E142" s="2121">
        <v>0.115</v>
      </c>
      <c r="F142" s="2133"/>
    </row>
    <row r="143" spans="1:6" ht="14.25" thickBot="1">
      <c r="A143" s="1531" t="s">
        <v>203</v>
      </c>
      <c r="B143" s="1525" t="s">
        <v>1495</v>
      </c>
      <c r="C143" s="2121">
        <v>0.121</v>
      </c>
      <c r="D143" s="2121">
        <v>0.121</v>
      </c>
      <c r="E143" s="2121">
        <v>0.108</v>
      </c>
      <c r="F143" s="2133"/>
    </row>
    <row r="144" spans="1:6" ht="14.25" thickBot="1">
      <c r="A144" s="1531" t="s">
        <v>203</v>
      </c>
      <c r="B144" s="2125" t="s">
        <v>2178</v>
      </c>
      <c r="C144" s="2126">
        <v>0.126</v>
      </c>
      <c r="D144" s="2126">
        <v>0.126</v>
      </c>
      <c r="E144" s="2126">
        <v>0.121</v>
      </c>
      <c r="F144" s="2133"/>
    </row>
    <row r="145" spans="1:6" ht="14.25" thickBot="1">
      <c r="A145" s="1541" t="s">
        <v>203</v>
      </c>
      <c r="B145" s="2127" t="s">
        <v>2179</v>
      </c>
      <c r="C145" s="2135"/>
      <c r="D145" s="2135"/>
      <c r="E145" s="2135"/>
      <c r="F145" s="2128">
        <v>0.05</v>
      </c>
    </row>
    <row r="146" spans="1:6" ht="24.75" thickBot="1">
      <c r="A146" s="2129" t="s">
        <v>203</v>
      </c>
      <c r="B146" s="1535" t="s">
        <v>2180</v>
      </c>
      <c r="C146" s="2134"/>
      <c r="D146" s="2134"/>
      <c r="E146" s="2134"/>
      <c r="F146" s="2130">
        <v>0.05</v>
      </c>
    </row>
    <row r="147" spans="1:6" ht="24.75" thickBot="1">
      <c r="A147" s="1531" t="s">
        <v>203</v>
      </c>
      <c r="B147" s="1525" t="s">
        <v>2181</v>
      </c>
      <c r="C147" s="2134"/>
      <c r="D147" s="2134"/>
      <c r="E147" s="2134"/>
      <c r="F147" s="2122">
        <v>0.05</v>
      </c>
    </row>
    <row r="148" spans="1:6" ht="24.75" thickBot="1">
      <c r="A148" s="1531" t="s">
        <v>203</v>
      </c>
      <c r="B148" s="1525" t="s">
        <v>2182</v>
      </c>
      <c r="C148" s="2134"/>
      <c r="D148" s="2134"/>
      <c r="E148" s="2134"/>
      <c r="F148" s="2122">
        <v>0.05</v>
      </c>
    </row>
    <row r="149" spans="1:6" ht="24.75" thickBot="1">
      <c r="A149" s="1531" t="s">
        <v>203</v>
      </c>
      <c r="B149" s="1525" t="s">
        <v>2183</v>
      </c>
      <c r="C149" s="2134"/>
      <c r="D149" s="2134"/>
      <c r="E149" s="2134"/>
      <c r="F149" s="2122">
        <v>0.05</v>
      </c>
    </row>
    <row r="150" spans="1:6" ht="24.75" thickBot="1">
      <c r="A150" s="1531" t="s">
        <v>203</v>
      </c>
      <c r="B150" s="1525" t="s">
        <v>2184</v>
      </c>
      <c r="C150" s="2134"/>
      <c r="D150" s="2134"/>
      <c r="E150" s="2134"/>
      <c r="F150" s="2122">
        <v>0.05</v>
      </c>
    </row>
    <row r="151" spans="1:6" ht="24.75" thickBot="1">
      <c r="A151" s="1531" t="s">
        <v>203</v>
      </c>
      <c r="B151" s="1525" t="s">
        <v>2185</v>
      </c>
      <c r="C151" s="2134"/>
      <c r="D151" s="2134"/>
      <c r="E151" s="2134"/>
      <c r="F151" s="2122">
        <v>0.05</v>
      </c>
    </row>
    <row r="152" spans="1:6" ht="24.75" thickBot="1">
      <c r="A152" s="1531" t="s">
        <v>203</v>
      </c>
      <c r="B152" s="1525" t="s">
        <v>1528</v>
      </c>
      <c r="C152" s="2134"/>
      <c r="D152" s="2134"/>
      <c r="E152" s="2134"/>
      <c r="F152" s="2122">
        <v>0.05</v>
      </c>
    </row>
    <row r="153" spans="1:6" ht="14.25" thickBot="1">
      <c r="A153" s="1531" t="s">
        <v>203</v>
      </c>
      <c r="B153" s="1525" t="s">
        <v>2186</v>
      </c>
      <c r="C153" s="2134"/>
      <c r="D153" s="2134"/>
      <c r="E153" s="2134"/>
      <c r="F153" s="2122">
        <v>0.05</v>
      </c>
    </row>
    <row r="154" spans="1:6" ht="14.25" thickBot="1">
      <c r="A154" s="1531" t="s">
        <v>203</v>
      </c>
      <c r="B154" s="1525" t="s">
        <v>2187</v>
      </c>
      <c r="C154" s="2134"/>
      <c r="D154" s="2134"/>
      <c r="E154" s="2134"/>
      <c r="F154" s="2122">
        <v>0.05</v>
      </c>
    </row>
    <row r="155" spans="1:6" ht="24.75" thickBot="1">
      <c r="A155" s="1531" t="s">
        <v>203</v>
      </c>
      <c r="B155" s="1525" t="s">
        <v>2188</v>
      </c>
      <c r="C155" s="2134"/>
      <c r="D155" s="2134"/>
      <c r="E155" s="2134"/>
      <c r="F155" s="2122">
        <v>0.05</v>
      </c>
    </row>
    <row r="156" spans="1:6" ht="24.75" thickBot="1">
      <c r="A156" s="1531" t="s">
        <v>203</v>
      </c>
      <c r="B156" s="1525" t="s">
        <v>2189</v>
      </c>
      <c r="C156" s="2134"/>
      <c r="D156" s="2134"/>
      <c r="E156" s="2134"/>
      <c r="F156" s="2122">
        <v>0.05</v>
      </c>
    </row>
    <row r="157" spans="1:6" ht="14.25" thickBot="1">
      <c r="A157" s="1541" t="s">
        <v>203</v>
      </c>
      <c r="B157" s="1537" t="s">
        <v>2190</v>
      </c>
      <c r="C157" s="2131"/>
      <c r="D157" s="2131"/>
      <c r="E157" s="2131"/>
      <c r="F157" s="2124">
        <v>0.05</v>
      </c>
    </row>
    <row r="158" spans="1:6" ht="14.25" thickBot="1">
      <c r="A158" s="1531" t="s">
        <v>1547</v>
      </c>
      <c r="B158" s="1532" t="s">
        <v>2191</v>
      </c>
      <c r="C158" s="2119">
        <v>0.13</v>
      </c>
      <c r="D158" s="2119">
        <v>0.13</v>
      </c>
      <c r="E158" s="2119">
        <v>0.13</v>
      </c>
      <c r="F158" s="2120">
        <v>0.13</v>
      </c>
    </row>
    <row r="159" spans="1:6" ht="14.25" thickBot="1">
      <c r="A159" s="1531" t="s">
        <v>1547</v>
      </c>
      <c r="B159" s="1525" t="s">
        <v>1214</v>
      </c>
      <c r="C159" s="2121">
        <v>0.13</v>
      </c>
      <c r="D159" s="2121">
        <v>0.13</v>
      </c>
      <c r="E159" s="2121">
        <v>0.13</v>
      </c>
      <c r="F159" s="2122">
        <v>0.13</v>
      </c>
    </row>
    <row r="160" spans="1:6" ht="14.25" thickBot="1">
      <c r="A160" s="1531" t="s">
        <v>1547</v>
      </c>
      <c r="B160" s="1525" t="s">
        <v>1227</v>
      </c>
      <c r="C160" s="2121">
        <v>0.13</v>
      </c>
      <c r="D160" s="2121">
        <v>0.13</v>
      </c>
      <c r="E160" s="2121">
        <v>0.129</v>
      </c>
      <c r="F160" s="2122">
        <v>0.13</v>
      </c>
    </row>
    <row r="161" spans="1:6" ht="14.25" thickBot="1">
      <c r="A161" s="1531" t="s">
        <v>1547</v>
      </c>
      <c r="B161" s="1525" t="s">
        <v>1240</v>
      </c>
      <c r="C161" s="2121">
        <v>0.128</v>
      </c>
      <c r="D161" s="2121">
        <v>0.128</v>
      </c>
      <c r="E161" s="2121">
        <v>0.125</v>
      </c>
      <c r="F161" s="2122">
        <v>0.13</v>
      </c>
    </row>
    <row r="162" spans="1:6" ht="14.25" thickBot="1">
      <c r="A162" s="1531" t="s">
        <v>1547</v>
      </c>
      <c r="B162" s="1525" t="s">
        <v>1252</v>
      </c>
      <c r="C162" s="2121">
        <v>0.122</v>
      </c>
      <c r="D162" s="2121">
        <v>0.122</v>
      </c>
      <c r="E162" s="2121">
        <v>0.126</v>
      </c>
      <c r="F162" s="2122">
        <v>0.122</v>
      </c>
    </row>
    <row r="163" spans="1:6" ht="14.25" thickBot="1">
      <c r="A163" s="1531" t="s">
        <v>1547</v>
      </c>
      <c r="B163" s="1525" t="s">
        <v>1263</v>
      </c>
      <c r="C163" s="2121">
        <v>0.13</v>
      </c>
      <c r="D163" s="2121">
        <v>0.13</v>
      </c>
      <c r="E163" s="2121">
        <v>0.125</v>
      </c>
      <c r="F163" s="2122">
        <v>0.13</v>
      </c>
    </row>
    <row r="164" spans="1:6" ht="14.25" thickBot="1">
      <c r="A164" s="1531" t="s">
        <v>1547</v>
      </c>
      <c r="B164" s="1525" t="s">
        <v>1274</v>
      </c>
      <c r="C164" s="2121">
        <v>0.13</v>
      </c>
      <c r="D164" s="2121">
        <v>0.13</v>
      </c>
      <c r="E164" s="2121">
        <v>0.13</v>
      </c>
      <c r="F164" s="2122">
        <v>0.13</v>
      </c>
    </row>
    <row r="165" spans="1:6" ht="14.25" thickBot="1">
      <c r="A165" s="1531" t="s">
        <v>1547</v>
      </c>
      <c r="B165" s="1525" t="s">
        <v>1285</v>
      </c>
      <c r="C165" s="2121">
        <v>0.13</v>
      </c>
      <c r="D165" s="2121">
        <v>0.13</v>
      </c>
      <c r="E165" s="2121">
        <v>0.124</v>
      </c>
      <c r="F165" s="2122">
        <v>0.13</v>
      </c>
    </row>
    <row r="166" spans="1:6" ht="14.25" thickBot="1">
      <c r="A166" s="1531" t="s">
        <v>1547</v>
      </c>
      <c r="B166" s="1525" t="s">
        <v>1297</v>
      </c>
      <c r="C166" s="2121">
        <v>0.13</v>
      </c>
      <c r="D166" s="2121">
        <v>0.13</v>
      </c>
      <c r="E166" s="2121">
        <v>0.13</v>
      </c>
      <c r="F166" s="2122">
        <v>0.13</v>
      </c>
    </row>
    <row r="167" spans="1:6" ht="14.25" thickBot="1">
      <c r="A167" s="1531" t="s">
        <v>1547</v>
      </c>
      <c r="B167" s="1525" t="s">
        <v>1307</v>
      </c>
      <c r="C167" s="2121">
        <v>0.125</v>
      </c>
      <c r="D167" s="2121">
        <v>0.125</v>
      </c>
      <c r="E167" s="2121">
        <v>0.121</v>
      </c>
      <c r="F167" s="2133"/>
    </row>
    <row r="168" spans="1:6" ht="14.25" thickBot="1">
      <c r="A168" s="1531" t="s">
        <v>1547</v>
      </c>
      <c r="B168" s="1525" t="s">
        <v>1317</v>
      </c>
      <c r="C168" s="2121">
        <v>0.13</v>
      </c>
      <c r="D168" s="2121">
        <v>0.13</v>
      </c>
      <c r="E168" s="2121">
        <v>0.126</v>
      </c>
      <c r="F168" s="2133"/>
    </row>
    <row r="169" spans="1:6" ht="14.25" thickBot="1">
      <c r="A169" s="1531" t="s">
        <v>1547</v>
      </c>
      <c r="B169" s="1525" t="s">
        <v>1327</v>
      </c>
      <c r="C169" s="2121">
        <v>0.128</v>
      </c>
      <c r="D169" s="2121">
        <v>0.129</v>
      </c>
      <c r="E169" s="2121">
        <v>0.13</v>
      </c>
      <c r="F169" s="2133"/>
    </row>
    <row r="170" spans="1:6" ht="14.25" thickBot="1">
      <c r="A170" s="1531" t="s">
        <v>1547</v>
      </c>
      <c r="B170" s="1525" t="s">
        <v>1337</v>
      </c>
      <c r="C170" s="2121">
        <v>0.14099999999999999</v>
      </c>
      <c r="D170" s="2121">
        <v>0.13</v>
      </c>
      <c r="E170" s="2121">
        <v>0.125</v>
      </c>
      <c r="F170" s="2133"/>
    </row>
    <row r="171" spans="1:6" ht="14.25" thickBot="1">
      <c r="A171" s="1531" t="s">
        <v>1547</v>
      </c>
      <c r="B171" s="1525" t="s">
        <v>2192</v>
      </c>
      <c r="C171" s="2121">
        <v>0.127</v>
      </c>
      <c r="D171" s="2121">
        <v>0.126</v>
      </c>
      <c r="E171" s="2121">
        <v>0.126</v>
      </c>
      <c r="F171" s="2122">
        <v>0.11799999999999999</v>
      </c>
    </row>
    <row r="172" spans="1:6" ht="14.25" thickBot="1">
      <c r="A172" s="1531" t="s">
        <v>1547</v>
      </c>
      <c r="B172" s="1525" t="s">
        <v>2193</v>
      </c>
      <c r="C172" s="2121">
        <v>0.13</v>
      </c>
      <c r="D172" s="2121">
        <v>0.13</v>
      </c>
      <c r="E172" s="2121">
        <v>0.13</v>
      </c>
      <c r="F172" s="2133"/>
    </row>
    <row r="173" spans="1:6" ht="14.25" thickBot="1">
      <c r="A173" s="1531" t="s">
        <v>1547</v>
      </c>
      <c r="B173" s="1525" t="s">
        <v>1369</v>
      </c>
      <c r="C173" s="2121">
        <v>0.13</v>
      </c>
      <c r="D173" s="2121">
        <v>0.13</v>
      </c>
      <c r="E173" s="2121">
        <v>0.13</v>
      </c>
      <c r="F173" s="2133"/>
    </row>
    <row r="174" spans="1:6" ht="14.25" thickBot="1">
      <c r="A174" s="1531" t="s">
        <v>1547</v>
      </c>
      <c r="B174" s="1525" t="s">
        <v>2194</v>
      </c>
      <c r="C174" s="2121">
        <v>0.13</v>
      </c>
      <c r="D174" s="2121">
        <v>0.13</v>
      </c>
      <c r="E174" s="2121">
        <v>0.13</v>
      </c>
      <c r="F174" s="2122">
        <v>0.13</v>
      </c>
    </row>
    <row r="175" spans="1:6" ht="14.25" thickBot="1">
      <c r="A175" s="1531" t="s">
        <v>1547</v>
      </c>
      <c r="B175" s="1525" t="s">
        <v>2195</v>
      </c>
      <c r="C175" s="2121">
        <v>0.13</v>
      </c>
      <c r="D175" s="2121">
        <v>0.13</v>
      </c>
      <c r="E175" s="2121">
        <v>0.13</v>
      </c>
      <c r="F175" s="2122">
        <v>0.13</v>
      </c>
    </row>
    <row r="176" spans="1:6" ht="14.25" thickBot="1">
      <c r="A176" s="1531" t="s">
        <v>1547</v>
      </c>
      <c r="B176" s="1525" t="s">
        <v>1399</v>
      </c>
      <c r="C176" s="2121">
        <v>0.13</v>
      </c>
      <c r="D176" s="2121">
        <v>0.13</v>
      </c>
      <c r="E176" s="2121">
        <v>0.13</v>
      </c>
      <c r="F176" s="2122">
        <v>0.13</v>
      </c>
    </row>
    <row r="177" spans="1:6" ht="14.25" thickBot="1">
      <c r="A177" s="1531" t="s">
        <v>1547</v>
      </c>
      <c r="B177" s="1525" t="s">
        <v>2196</v>
      </c>
      <c r="C177" s="2121">
        <v>0.13</v>
      </c>
      <c r="D177" s="2121">
        <v>0.13</v>
      </c>
      <c r="E177" s="2121">
        <v>0.13</v>
      </c>
      <c r="F177" s="2122">
        <v>0.13</v>
      </c>
    </row>
    <row r="178" spans="1:6" ht="14.25" thickBot="1">
      <c r="A178" s="1531" t="s">
        <v>1547</v>
      </c>
      <c r="B178" s="1525" t="s">
        <v>1417</v>
      </c>
      <c r="C178" s="2121">
        <v>0.13</v>
      </c>
      <c r="D178" s="2121">
        <v>0.13</v>
      </c>
      <c r="E178" s="2121">
        <v>0.13</v>
      </c>
      <c r="F178" s="2122">
        <v>0.127</v>
      </c>
    </row>
    <row r="179" spans="1:6" ht="14.25" thickBot="1">
      <c r="A179" s="1531" t="s">
        <v>1547</v>
      </c>
      <c r="B179" s="1525" t="s">
        <v>1425</v>
      </c>
      <c r="C179" s="2121">
        <v>0.13</v>
      </c>
      <c r="D179" s="2121">
        <v>0.13</v>
      </c>
      <c r="E179" s="2121">
        <v>0.13</v>
      </c>
      <c r="F179" s="2133"/>
    </row>
    <row r="180" spans="1:6" ht="14.25" thickBot="1">
      <c r="A180" s="1531" t="s">
        <v>1547</v>
      </c>
      <c r="B180" s="1525" t="s">
        <v>2197</v>
      </c>
      <c r="C180" s="2121">
        <v>0.13</v>
      </c>
      <c r="D180" s="2121">
        <v>0.13</v>
      </c>
      <c r="E180" s="2121">
        <v>0.125</v>
      </c>
      <c r="F180" s="2122">
        <v>0.13</v>
      </c>
    </row>
    <row r="181" spans="1:6" ht="14.25" thickBot="1">
      <c r="A181" s="1531" t="s">
        <v>1547</v>
      </c>
      <c r="B181" s="1525" t="s">
        <v>1439</v>
      </c>
      <c r="C181" s="2121">
        <v>0.122</v>
      </c>
      <c r="D181" s="2121">
        <v>0.123</v>
      </c>
      <c r="E181" s="2121">
        <v>0.126</v>
      </c>
      <c r="F181" s="2122">
        <v>0.121</v>
      </c>
    </row>
    <row r="182" spans="1:6" ht="14.25" thickBot="1">
      <c r="A182" s="1531" t="s">
        <v>1547</v>
      </c>
      <c r="B182" s="1525" t="s">
        <v>1446</v>
      </c>
      <c r="C182" s="2121">
        <v>0.125</v>
      </c>
      <c r="D182" s="2121">
        <v>0.125</v>
      </c>
      <c r="E182" s="2121">
        <v>0.11700000000000001</v>
      </c>
      <c r="F182" s="2122">
        <v>0.13</v>
      </c>
    </row>
    <row r="183" spans="1:6" ht="14.25" thickBot="1">
      <c r="A183" s="1531" t="s">
        <v>1547</v>
      </c>
      <c r="B183" s="1525" t="s">
        <v>1453</v>
      </c>
      <c r="C183" s="2121">
        <v>0.127</v>
      </c>
      <c r="D183" s="2121">
        <v>0.127</v>
      </c>
      <c r="E183" s="2121">
        <v>0.128</v>
      </c>
      <c r="F183" s="2133"/>
    </row>
    <row r="184" spans="1:6" ht="14.25" thickBot="1">
      <c r="A184" s="1531" t="s">
        <v>1547</v>
      </c>
      <c r="B184" s="1525" t="s">
        <v>1460</v>
      </c>
      <c r="C184" s="2121">
        <v>0.125</v>
      </c>
      <c r="D184" s="2121">
        <v>0.125</v>
      </c>
      <c r="E184" s="2121">
        <v>0.127</v>
      </c>
      <c r="F184" s="2133"/>
    </row>
    <row r="185" spans="1:6" ht="14.25" thickBot="1">
      <c r="A185" s="1531" t="s">
        <v>1547</v>
      </c>
      <c r="B185" s="1525" t="s">
        <v>2198</v>
      </c>
      <c r="C185" s="2121">
        <v>0.127</v>
      </c>
      <c r="D185" s="2121">
        <v>0.127</v>
      </c>
      <c r="E185" s="2121">
        <v>0.128</v>
      </c>
      <c r="F185" s="2122">
        <v>0.13</v>
      </c>
    </row>
    <row r="186" spans="1:6" ht="24.75" thickBot="1">
      <c r="A186" s="1531" t="s">
        <v>1547</v>
      </c>
      <c r="B186" s="1525" t="s">
        <v>2199</v>
      </c>
      <c r="C186" s="2134"/>
      <c r="D186" s="2134"/>
      <c r="E186" s="2134"/>
      <c r="F186" s="2122">
        <v>0.05</v>
      </c>
    </row>
    <row r="187" spans="1:6" ht="14.25" thickBot="1">
      <c r="A187" s="1531" t="s">
        <v>1547</v>
      </c>
      <c r="B187" s="1525" t="s">
        <v>2200</v>
      </c>
      <c r="C187" s="2134"/>
      <c r="D187" s="2134"/>
      <c r="E187" s="2134"/>
      <c r="F187" s="2122">
        <v>0.05</v>
      </c>
    </row>
    <row r="188" spans="1:6" ht="14.25" thickBot="1">
      <c r="A188" s="1531" t="s">
        <v>1547</v>
      </c>
      <c r="B188" s="1525" t="s">
        <v>2201</v>
      </c>
      <c r="C188" s="2134"/>
      <c r="D188" s="2134"/>
      <c r="E188" s="2134"/>
      <c r="F188" s="2122">
        <v>0.05</v>
      </c>
    </row>
    <row r="189" spans="1:6" ht="24.75" thickBot="1">
      <c r="A189" s="1531" t="s">
        <v>1547</v>
      </c>
      <c r="B189" s="1525" t="s">
        <v>2202</v>
      </c>
      <c r="C189" s="2134"/>
      <c r="D189" s="2134"/>
      <c r="E189" s="2134"/>
      <c r="F189" s="2122">
        <v>0.05</v>
      </c>
    </row>
    <row r="190" spans="1:6" ht="24.75" thickBot="1">
      <c r="A190" s="1531" t="s">
        <v>1547</v>
      </c>
      <c r="B190" s="1525" t="s">
        <v>2203</v>
      </c>
      <c r="C190" s="2134"/>
      <c r="D190" s="2134"/>
      <c r="E190" s="2134"/>
      <c r="F190" s="2122">
        <v>0.05</v>
      </c>
    </row>
    <row r="191" spans="1:6" ht="24.75" thickBot="1">
      <c r="A191" s="1531" t="s">
        <v>1547</v>
      </c>
      <c r="B191" s="1525" t="s">
        <v>2204</v>
      </c>
      <c r="C191" s="2134"/>
      <c r="D191" s="2134"/>
      <c r="E191" s="2134"/>
      <c r="F191" s="2122">
        <v>0.05</v>
      </c>
    </row>
    <row r="192" spans="1:6" ht="24.75" thickBot="1">
      <c r="A192" s="1531" t="s">
        <v>1547</v>
      </c>
      <c r="B192" s="1525" t="s">
        <v>2205</v>
      </c>
      <c r="C192" s="2134"/>
      <c r="D192" s="2134"/>
      <c r="E192" s="2134"/>
      <c r="F192" s="2122">
        <v>0.05</v>
      </c>
    </row>
    <row r="193" spans="1:6" ht="24.75" thickBot="1">
      <c r="A193" s="1531" t="s">
        <v>1547</v>
      </c>
      <c r="B193" s="1525" t="s">
        <v>2206</v>
      </c>
      <c r="C193" s="2134"/>
      <c r="D193" s="2134"/>
      <c r="E193" s="2134"/>
      <c r="F193" s="2122">
        <v>0.05</v>
      </c>
    </row>
    <row r="194" spans="1:6" ht="24.75" thickBot="1">
      <c r="A194" s="1531" t="s">
        <v>1547</v>
      </c>
      <c r="B194" s="1525" t="s">
        <v>2207</v>
      </c>
      <c r="C194" s="2134"/>
      <c r="D194" s="2134"/>
      <c r="E194" s="2134"/>
      <c r="F194" s="2122">
        <v>0.05</v>
      </c>
    </row>
    <row r="195" spans="1:6" ht="14.25" thickBot="1">
      <c r="A195" s="1531" t="s">
        <v>1547</v>
      </c>
      <c r="B195" s="1525" t="s">
        <v>2208</v>
      </c>
      <c r="C195" s="2134"/>
      <c r="D195" s="2134"/>
      <c r="E195" s="2134"/>
      <c r="F195" s="2122">
        <v>0.05</v>
      </c>
    </row>
    <row r="196" spans="1:6" ht="24.75" thickBot="1">
      <c r="A196" s="1531" t="s">
        <v>1547</v>
      </c>
      <c r="B196" s="1525" t="s">
        <v>2209</v>
      </c>
      <c r="C196" s="2134"/>
      <c r="D196" s="2134"/>
      <c r="E196" s="2134"/>
      <c r="F196" s="2122">
        <v>0.05</v>
      </c>
    </row>
    <row r="197" spans="1:6" ht="24.75" thickBot="1">
      <c r="A197" s="1531" t="s">
        <v>1547</v>
      </c>
      <c r="B197" s="1525" t="s">
        <v>2210</v>
      </c>
      <c r="C197" s="2134"/>
      <c r="D197" s="2134"/>
      <c r="E197" s="2134"/>
      <c r="F197" s="2122">
        <v>0.05</v>
      </c>
    </row>
    <row r="198" spans="1:6" ht="24.75" thickBot="1">
      <c r="A198" s="1531" t="s">
        <v>1547</v>
      </c>
      <c r="B198" s="1525" t="s">
        <v>2211</v>
      </c>
      <c r="C198" s="2134"/>
      <c r="D198" s="2134"/>
      <c r="E198" s="2134"/>
      <c r="F198" s="2122">
        <v>0.05</v>
      </c>
    </row>
    <row r="199" spans="1:6" ht="24.75" thickBot="1">
      <c r="A199" s="1531" t="s">
        <v>1547</v>
      </c>
      <c r="B199" s="1525" t="s">
        <v>2212</v>
      </c>
      <c r="C199" s="2134"/>
      <c r="D199" s="2134"/>
      <c r="E199" s="2134"/>
      <c r="F199" s="2122">
        <v>0.05</v>
      </c>
    </row>
    <row r="200" spans="1:6" ht="24.75" thickBot="1">
      <c r="A200" s="1531" t="s">
        <v>1547</v>
      </c>
      <c r="B200" s="1525" t="s">
        <v>2213</v>
      </c>
      <c r="C200" s="2134"/>
      <c r="D200" s="2134"/>
      <c r="E200" s="2134"/>
      <c r="F200" s="2122">
        <v>0.05</v>
      </c>
    </row>
    <row r="201" spans="1:6" ht="24.75" thickBot="1">
      <c r="A201" s="1531" t="s">
        <v>1547</v>
      </c>
      <c r="B201" s="1525" t="s">
        <v>2214</v>
      </c>
      <c r="C201" s="2134"/>
      <c r="D201" s="2134"/>
      <c r="E201" s="2134"/>
      <c r="F201" s="2122">
        <v>0.05</v>
      </c>
    </row>
    <row r="202" spans="1:6" ht="24.75" thickBot="1">
      <c r="A202" s="1531" t="s">
        <v>1547</v>
      </c>
      <c r="B202" s="1525" t="s">
        <v>2215</v>
      </c>
      <c r="C202" s="2134"/>
      <c r="D202" s="2134"/>
      <c r="E202" s="2134"/>
      <c r="F202" s="2122">
        <v>0.05</v>
      </c>
    </row>
    <row r="203" spans="1:6" ht="24.75" thickBot="1">
      <c r="A203" s="1531" t="s">
        <v>1547</v>
      </c>
      <c r="B203" s="1525" t="s">
        <v>2216</v>
      </c>
      <c r="C203" s="2134"/>
      <c r="D203" s="2134"/>
      <c r="E203" s="2134"/>
      <c r="F203" s="2122">
        <v>0.05</v>
      </c>
    </row>
    <row r="204" spans="1:6" ht="14.25" thickBot="1">
      <c r="A204" s="1531" t="s">
        <v>1547</v>
      </c>
      <c r="B204" s="1525" t="s">
        <v>2217</v>
      </c>
      <c r="C204" s="2134"/>
      <c r="D204" s="2134"/>
      <c r="E204" s="2134"/>
      <c r="F204" s="2122">
        <v>0.05</v>
      </c>
    </row>
    <row r="205" spans="1:6" ht="14.25" thickBot="1">
      <c r="A205" s="1541" t="s">
        <v>1547</v>
      </c>
      <c r="B205" s="1537" t="s">
        <v>2218</v>
      </c>
      <c r="C205" s="2131"/>
      <c r="D205" s="2131"/>
      <c r="E205" s="2131"/>
      <c r="F205" s="2124">
        <v>0.05</v>
      </c>
    </row>
    <row r="206" spans="1:6" ht="14.25" thickBot="1">
      <c r="A206" s="1531" t="s">
        <v>1549</v>
      </c>
      <c r="B206" s="1532" t="s">
        <v>2219</v>
      </c>
      <c r="C206" s="2119">
        <v>0.15</v>
      </c>
      <c r="D206" s="2119">
        <v>0.15</v>
      </c>
      <c r="E206" s="2119">
        <v>0.15</v>
      </c>
      <c r="F206" s="2120">
        <v>0.15</v>
      </c>
    </row>
    <row r="207" spans="1:6" ht="14.25" thickBot="1">
      <c r="A207" s="1531" t="s">
        <v>1549</v>
      </c>
      <c r="B207" s="1525" t="s">
        <v>1215</v>
      </c>
      <c r="C207" s="2121">
        <v>0.15</v>
      </c>
      <c r="D207" s="2121">
        <v>0.15</v>
      </c>
      <c r="E207" s="2121">
        <v>0.15</v>
      </c>
      <c r="F207" s="2122">
        <v>0.14399999999999999</v>
      </c>
    </row>
    <row r="208" spans="1:6" ht="14.25" thickBot="1">
      <c r="A208" s="1531" t="s">
        <v>1549</v>
      </c>
      <c r="B208" s="1525" t="s">
        <v>1228</v>
      </c>
      <c r="C208" s="2121">
        <v>0.15</v>
      </c>
      <c r="D208" s="2121">
        <v>0.15</v>
      </c>
      <c r="E208" s="2121">
        <v>0.15</v>
      </c>
      <c r="F208" s="2122">
        <v>0.15</v>
      </c>
    </row>
    <row r="209" spans="1:6" ht="14.25" thickBot="1">
      <c r="A209" s="1531" t="s">
        <v>1549</v>
      </c>
      <c r="B209" s="1525" t="s">
        <v>1241</v>
      </c>
      <c r="C209" s="2121">
        <v>0.13700000000000001</v>
      </c>
      <c r="D209" s="2121">
        <v>0.13700000000000001</v>
      </c>
      <c r="E209" s="2121">
        <v>0.14000000000000001</v>
      </c>
      <c r="F209" s="2122">
        <v>0.11700000000000001</v>
      </c>
    </row>
    <row r="210" spans="1:6" ht="14.25" thickBot="1">
      <c r="A210" s="1531" t="s">
        <v>1549</v>
      </c>
      <c r="B210" s="1525" t="s">
        <v>2220</v>
      </c>
      <c r="C210" s="2121">
        <v>0.15</v>
      </c>
      <c r="D210" s="2121">
        <v>0.15</v>
      </c>
      <c r="E210" s="2121">
        <v>0.15</v>
      </c>
      <c r="F210" s="2122">
        <v>0.13800000000000001</v>
      </c>
    </row>
    <row r="211" spans="1:6" ht="14.25" thickBot="1">
      <c r="A211" s="1531" t="s">
        <v>1549</v>
      </c>
      <c r="B211" s="1525" t="s">
        <v>2221</v>
      </c>
      <c r="C211" s="2121">
        <v>0.13700000000000001</v>
      </c>
      <c r="D211" s="2121">
        <v>0.13500000000000001</v>
      </c>
      <c r="E211" s="2121">
        <v>0.13600000000000001</v>
      </c>
      <c r="F211" s="2122">
        <v>0.1</v>
      </c>
    </row>
    <row r="212" spans="1:6" ht="14.25" thickBot="1">
      <c r="A212" s="1531" t="s">
        <v>1549</v>
      </c>
      <c r="B212" s="1525" t="s">
        <v>2222</v>
      </c>
      <c r="C212" s="2121">
        <v>0.15</v>
      </c>
      <c r="D212" s="2121">
        <v>0.15</v>
      </c>
      <c r="E212" s="2121">
        <v>0.14799999999999999</v>
      </c>
      <c r="F212" s="2122">
        <v>0.13600000000000001</v>
      </c>
    </row>
    <row r="213" spans="1:6" ht="14.25" thickBot="1">
      <c r="A213" s="1531" t="s">
        <v>1549</v>
      </c>
      <c r="B213" s="1525" t="s">
        <v>1286</v>
      </c>
      <c r="C213" s="2121">
        <v>0.15</v>
      </c>
      <c r="D213" s="2121">
        <v>0.15</v>
      </c>
      <c r="E213" s="2121">
        <v>0.15</v>
      </c>
      <c r="F213" s="2122">
        <v>0.13800000000000001</v>
      </c>
    </row>
    <row r="214" spans="1:6" ht="14.25" thickBot="1">
      <c r="A214" s="1531" t="s">
        <v>1549</v>
      </c>
      <c r="B214" s="1525" t="s">
        <v>1298</v>
      </c>
      <c r="C214" s="2121">
        <v>9.0999999999999998E-2</v>
      </c>
      <c r="D214" s="2121">
        <v>0.09</v>
      </c>
      <c r="E214" s="2121">
        <v>9.1999999999999998E-2</v>
      </c>
      <c r="F214" s="2133"/>
    </row>
    <row r="215" spans="1:6" ht="14.25" thickBot="1">
      <c r="A215" s="1531" t="s">
        <v>1549</v>
      </c>
      <c r="B215" s="1525" t="s">
        <v>2223</v>
      </c>
      <c r="C215" s="2121">
        <v>0.15</v>
      </c>
      <c r="D215" s="2121">
        <v>0.15</v>
      </c>
      <c r="E215" s="2121">
        <v>0.15</v>
      </c>
      <c r="F215" s="2122">
        <v>0.15</v>
      </c>
    </row>
    <row r="216" spans="1:6" ht="14.25" thickBot="1">
      <c r="A216" s="1531" t="s">
        <v>1549</v>
      </c>
      <c r="B216" s="1525" t="s">
        <v>1318</v>
      </c>
      <c r="C216" s="2121">
        <v>0.14699999999999999</v>
      </c>
      <c r="D216" s="2121">
        <v>0.14699999999999999</v>
      </c>
      <c r="E216" s="2121">
        <v>0.15</v>
      </c>
      <c r="F216" s="2122">
        <v>0.14000000000000001</v>
      </c>
    </row>
    <row r="217" spans="1:6" ht="14.25" thickBot="1">
      <c r="A217" s="1531" t="s">
        <v>1549</v>
      </c>
      <c r="B217" s="1525" t="s">
        <v>1328</v>
      </c>
      <c r="C217" s="2121">
        <v>0.15</v>
      </c>
      <c r="D217" s="2121">
        <v>0.15</v>
      </c>
      <c r="E217" s="2121">
        <v>0.15</v>
      </c>
      <c r="F217" s="2122">
        <v>0.15</v>
      </c>
    </row>
    <row r="218" spans="1:6" ht="14.25" thickBot="1">
      <c r="A218" s="1531" t="s">
        <v>1549</v>
      </c>
      <c r="B218" s="1525" t="s">
        <v>2224</v>
      </c>
      <c r="C218" s="2121">
        <v>0.15</v>
      </c>
      <c r="D218" s="2121">
        <v>0.15</v>
      </c>
      <c r="E218" s="2121">
        <v>0.15</v>
      </c>
      <c r="F218" s="2122">
        <v>0.15</v>
      </c>
    </row>
    <row r="219" spans="1:6" ht="14.25" thickBot="1">
      <c r="A219" s="1531" t="s">
        <v>1549</v>
      </c>
      <c r="B219" s="1525" t="s">
        <v>1349</v>
      </c>
      <c r="C219" s="2121">
        <v>0.15</v>
      </c>
      <c r="D219" s="2121">
        <v>0.15</v>
      </c>
      <c r="E219" s="2121">
        <v>0.15</v>
      </c>
      <c r="F219" s="2122">
        <v>0.14799999999999999</v>
      </c>
    </row>
    <row r="220" spans="1:6" ht="14.25" thickBot="1">
      <c r="A220" s="1531" t="s">
        <v>1549</v>
      </c>
      <c r="B220" s="1525" t="s">
        <v>2225</v>
      </c>
      <c r="C220" s="2121">
        <v>0.15</v>
      </c>
      <c r="D220" s="2121">
        <v>0.15</v>
      </c>
      <c r="E220" s="2121">
        <v>0.15</v>
      </c>
      <c r="F220" s="2122">
        <v>0.15</v>
      </c>
    </row>
    <row r="221" spans="1:6" ht="14.25" thickBot="1">
      <c r="A221" s="1531" t="s">
        <v>1549</v>
      </c>
      <c r="B221" s="1525" t="s">
        <v>1370</v>
      </c>
      <c r="C221" s="2121"/>
      <c r="D221" s="2134"/>
      <c r="E221" s="2134"/>
      <c r="F221" s="2122">
        <v>0.14799999999999999</v>
      </c>
    </row>
    <row r="222" spans="1:6" ht="14.25" thickBot="1">
      <c r="A222" s="1531" t="s">
        <v>1549</v>
      </c>
      <c r="B222" s="1525" t="s">
        <v>1380</v>
      </c>
      <c r="C222" s="2121"/>
      <c r="D222" s="2134"/>
      <c r="E222" s="2134"/>
      <c r="F222" s="2122">
        <v>0.1</v>
      </c>
    </row>
    <row r="223" spans="1:6" ht="14.25" thickBot="1">
      <c r="A223" s="1531" t="s">
        <v>1549</v>
      </c>
      <c r="B223" s="1525" t="s">
        <v>1390</v>
      </c>
      <c r="C223" s="2121"/>
      <c r="D223" s="2134"/>
      <c r="E223" s="2134"/>
      <c r="F223" s="2122">
        <v>0.15</v>
      </c>
    </row>
    <row r="224" spans="1:6" ht="14.25" thickBot="1">
      <c r="A224" s="1531" t="s">
        <v>1549</v>
      </c>
      <c r="B224" s="1525" t="s">
        <v>1400</v>
      </c>
      <c r="C224" s="2121"/>
      <c r="D224" s="2134"/>
      <c r="E224" s="2134"/>
      <c r="F224" s="2122">
        <v>0.15</v>
      </c>
    </row>
    <row r="225" spans="1:6" ht="14.25" thickBot="1">
      <c r="A225" s="1531" t="s">
        <v>1549</v>
      </c>
      <c r="B225" s="1525" t="s">
        <v>2226</v>
      </c>
      <c r="C225" s="2121">
        <v>0.15</v>
      </c>
      <c r="D225" s="2121">
        <v>0.15</v>
      </c>
      <c r="E225" s="2121">
        <v>0.15</v>
      </c>
      <c r="F225" s="2122">
        <v>0.15</v>
      </c>
    </row>
    <row r="226" spans="1:6" ht="14.25" thickBot="1">
      <c r="A226" s="1531" t="s">
        <v>1549</v>
      </c>
      <c r="B226" s="1525" t="s">
        <v>1418</v>
      </c>
      <c r="C226" s="2121">
        <v>0.15</v>
      </c>
      <c r="D226" s="2121">
        <v>0.15</v>
      </c>
      <c r="E226" s="2121">
        <v>0.15</v>
      </c>
      <c r="F226" s="2122">
        <v>0.14799999999999999</v>
      </c>
    </row>
    <row r="227" spans="1:6" ht="14.25" thickBot="1">
      <c r="A227" s="1531" t="s">
        <v>1549</v>
      </c>
      <c r="B227" s="1525" t="s">
        <v>2227</v>
      </c>
      <c r="C227" s="2121">
        <v>0.15</v>
      </c>
      <c r="D227" s="2121">
        <v>0.15</v>
      </c>
      <c r="E227" s="2121">
        <v>0.15</v>
      </c>
      <c r="F227" s="2122">
        <v>0.15</v>
      </c>
    </row>
    <row r="228" spans="1:6" ht="14.25" thickBot="1">
      <c r="A228" s="1531" t="s">
        <v>1549</v>
      </c>
      <c r="B228" s="1525" t="s">
        <v>1433</v>
      </c>
      <c r="C228" s="2121">
        <v>0.15</v>
      </c>
      <c r="D228" s="2121">
        <v>0.15</v>
      </c>
      <c r="E228" s="2121">
        <v>0.15</v>
      </c>
      <c r="F228" s="2122">
        <v>0.15</v>
      </c>
    </row>
    <row r="229" spans="1:6" ht="14.25" thickBot="1">
      <c r="A229" s="1531" t="s">
        <v>1549</v>
      </c>
      <c r="B229" s="1525" t="s">
        <v>1440</v>
      </c>
      <c r="C229" s="2121">
        <v>0.15</v>
      </c>
      <c r="D229" s="2121">
        <v>0.15</v>
      </c>
      <c r="E229" s="2121">
        <v>0.15</v>
      </c>
      <c r="F229" s="2133"/>
    </row>
    <row r="230" spans="1:6" ht="14.25" thickBot="1">
      <c r="A230" s="1531" t="s">
        <v>1549</v>
      </c>
      <c r="B230" s="1525" t="s">
        <v>1447</v>
      </c>
      <c r="C230" s="2121">
        <v>0.14499999999999999</v>
      </c>
      <c r="D230" s="2121">
        <v>0.14499999999999999</v>
      </c>
      <c r="E230" s="2121">
        <v>0.14399999999999999</v>
      </c>
      <c r="F230" s="2133"/>
    </row>
    <row r="231" spans="1:6" ht="14.25" thickBot="1">
      <c r="A231" s="1531" t="s">
        <v>1549</v>
      </c>
      <c r="B231" s="1525" t="s">
        <v>2228</v>
      </c>
      <c r="C231" s="2121">
        <v>0.128</v>
      </c>
      <c r="D231" s="2121">
        <v>0.125</v>
      </c>
      <c r="E231" s="2121">
        <v>0.13200000000000001</v>
      </c>
      <c r="F231" s="2133"/>
    </row>
    <row r="232" spans="1:6" ht="14.25" thickBot="1">
      <c r="A232" s="1531" t="s">
        <v>1549</v>
      </c>
      <c r="B232" s="1525" t="s">
        <v>2229</v>
      </c>
      <c r="C232" s="2121">
        <v>0.14499999999999999</v>
      </c>
      <c r="D232" s="2121">
        <v>0.14399999999999999</v>
      </c>
      <c r="E232" s="2121">
        <v>0.14599999999999999</v>
      </c>
      <c r="F232" s="2122">
        <v>0.13800000000000001</v>
      </c>
    </row>
    <row r="233" spans="1:6" ht="14.25" thickBot="1">
      <c r="A233" s="1531" t="s">
        <v>1549</v>
      </c>
      <c r="B233" s="1525" t="s">
        <v>2230</v>
      </c>
      <c r="C233" s="2121">
        <v>0.14499999999999999</v>
      </c>
      <c r="D233" s="2121">
        <v>0.14299999999999999</v>
      </c>
      <c r="E233" s="2121">
        <v>0.14199999999999999</v>
      </c>
      <c r="F233" s="2133"/>
    </row>
    <row r="234" spans="1:6" ht="14.25" thickBot="1">
      <c r="A234" s="1531" t="s">
        <v>1549</v>
      </c>
      <c r="B234" s="1525" t="s">
        <v>2231</v>
      </c>
      <c r="C234" s="2121">
        <v>0.14000000000000001</v>
      </c>
      <c r="D234" s="2121">
        <v>0.14000000000000001</v>
      </c>
      <c r="E234" s="2121">
        <v>0.14399999999999999</v>
      </c>
      <c r="F234" s="2133"/>
    </row>
    <row r="235" spans="1:6" ht="14.25" thickBot="1">
      <c r="A235" s="1531" t="s">
        <v>1549</v>
      </c>
      <c r="B235" s="1525" t="s">
        <v>2232</v>
      </c>
      <c r="C235" s="2121">
        <v>0.14099999999999999</v>
      </c>
      <c r="D235" s="2121">
        <v>0.14199999999999999</v>
      </c>
      <c r="E235" s="2121">
        <v>0.14499999999999999</v>
      </c>
      <c r="F235" s="2122">
        <v>0.15</v>
      </c>
    </row>
    <row r="236" spans="1:6" ht="14.25" thickBot="1">
      <c r="A236" s="1531" t="s">
        <v>1549</v>
      </c>
      <c r="B236" s="1525" t="s">
        <v>1482</v>
      </c>
      <c r="C236" s="2134"/>
      <c r="D236" s="2134"/>
      <c r="E236" s="2134"/>
      <c r="F236" s="2122">
        <v>0.14299999999999999</v>
      </c>
    </row>
    <row r="237" spans="1:6" ht="24.75" thickBot="1">
      <c r="A237" s="1531" t="s">
        <v>1549</v>
      </c>
      <c r="B237" s="1525" t="s">
        <v>2233</v>
      </c>
      <c r="C237" s="2134"/>
      <c r="D237" s="2134"/>
      <c r="E237" s="2134"/>
      <c r="F237" s="2122">
        <v>0.05</v>
      </c>
    </row>
    <row r="238" spans="1:6" ht="24.75" thickBot="1">
      <c r="A238" s="1531" t="s">
        <v>1549</v>
      </c>
      <c r="B238" s="1525" t="s">
        <v>2234</v>
      </c>
      <c r="C238" s="2134"/>
      <c r="D238" s="2134"/>
      <c r="E238" s="2134"/>
      <c r="F238" s="2122">
        <v>0.05</v>
      </c>
    </row>
    <row r="239" spans="1:6" ht="24.75" thickBot="1">
      <c r="A239" s="1531" t="s">
        <v>1549</v>
      </c>
      <c r="B239" s="1525" t="s">
        <v>2235</v>
      </c>
      <c r="C239" s="2134"/>
      <c r="D239" s="2134"/>
      <c r="E239" s="2134"/>
      <c r="F239" s="2122">
        <v>0.05</v>
      </c>
    </row>
    <row r="240" spans="1:6" ht="24.75" thickBot="1">
      <c r="A240" s="1531" t="s">
        <v>1549</v>
      </c>
      <c r="B240" s="1525" t="s">
        <v>2236</v>
      </c>
      <c r="C240" s="2134"/>
      <c r="D240" s="2134"/>
      <c r="E240" s="2134"/>
      <c r="F240" s="2122">
        <v>0.05</v>
      </c>
    </row>
    <row r="241" spans="1:6" ht="24.75" thickBot="1">
      <c r="A241" s="1531" t="s">
        <v>1549</v>
      </c>
      <c r="B241" s="1525" t="s">
        <v>2237</v>
      </c>
      <c r="C241" s="2134"/>
      <c r="D241" s="2134"/>
      <c r="E241" s="2134"/>
      <c r="F241" s="2122">
        <v>0.05</v>
      </c>
    </row>
    <row r="242" spans="1:6" ht="24.75" thickBot="1">
      <c r="A242" s="1531" t="s">
        <v>1549</v>
      </c>
      <c r="B242" s="1525" t="s">
        <v>2238</v>
      </c>
      <c r="C242" s="2134"/>
      <c r="D242" s="2134"/>
      <c r="E242" s="2134"/>
      <c r="F242" s="2122">
        <v>0.05</v>
      </c>
    </row>
    <row r="243" spans="1:6" ht="24.75" thickBot="1">
      <c r="A243" s="1531" t="s">
        <v>1549</v>
      </c>
      <c r="B243" s="1525" t="s">
        <v>2239</v>
      </c>
      <c r="C243" s="2134"/>
      <c r="D243" s="2134"/>
      <c r="E243" s="2134"/>
      <c r="F243" s="2122">
        <v>0.05</v>
      </c>
    </row>
    <row r="244" spans="1:6" ht="24.75" thickBot="1">
      <c r="A244" s="1541" t="s">
        <v>1549</v>
      </c>
      <c r="B244" s="1537" t="s">
        <v>2240</v>
      </c>
      <c r="C244" s="2131"/>
      <c r="D244" s="2131"/>
      <c r="E244" s="2131"/>
      <c r="F244" s="2124">
        <v>0.05</v>
      </c>
    </row>
    <row r="245" spans="1:6" ht="14.25" thickBot="1">
      <c r="A245" s="1531" t="s">
        <v>1551</v>
      </c>
      <c r="B245" s="1532" t="s">
        <v>2241</v>
      </c>
      <c r="C245" s="2119">
        <v>0.15</v>
      </c>
      <c r="D245" s="2119">
        <v>0.15</v>
      </c>
      <c r="E245" s="2119">
        <v>0.15</v>
      </c>
      <c r="F245" s="2120">
        <v>0.14299999999999999</v>
      </c>
    </row>
    <row r="246" spans="1:6" ht="14.25" thickBot="1">
      <c r="A246" s="1531" t="s">
        <v>1551</v>
      </c>
      <c r="B246" s="1525" t="s">
        <v>1216</v>
      </c>
      <c r="C246" s="2121">
        <v>0.15</v>
      </c>
      <c r="D246" s="2121">
        <v>0.15</v>
      </c>
      <c r="E246" s="2121">
        <v>0.15</v>
      </c>
      <c r="F246" s="2122">
        <v>0.114</v>
      </c>
    </row>
    <row r="247" spans="1:6" ht="14.25" thickBot="1">
      <c r="A247" s="1531" t="s">
        <v>1551</v>
      </c>
      <c r="B247" s="1525" t="s">
        <v>2242</v>
      </c>
      <c r="C247" s="2121">
        <v>0.15</v>
      </c>
      <c r="D247" s="2121">
        <v>0.15</v>
      </c>
      <c r="E247" s="2121">
        <v>0.15</v>
      </c>
      <c r="F247" s="2122">
        <v>0.15</v>
      </c>
    </row>
    <row r="248" spans="1:6" ht="14.25" thickBot="1">
      <c r="A248" s="1531" t="s">
        <v>1551</v>
      </c>
      <c r="B248" s="1525" t="s">
        <v>2243</v>
      </c>
      <c r="C248" s="2121">
        <v>0.15</v>
      </c>
      <c r="D248" s="2121">
        <v>0.15</v>
      </c>
      <c r="E248" s="2121">
        <v>0.15</v>
      </c>
      <c r="F248" s="2122">
        <v>0.14000000000000001</v>
      </c>
    </row>
    <row r="249" spans="1:6" ht="14.25" thickBot="1">
      <c r="A249" s="1531" t="s">
        <v>1551</v>
      </c>
      <c r="B249" s="1525" t="s">
        <v>2244</v>
      </c>
      <c r="C249" s="2121">
        <v>0.15</v>
      </c>
      <c r="D249" s="2121">
        <v>0.14899999999999999</v>
      </c>
      <c r="E249" s="2121">
        <v>0.15</v>
      </c>
      <c r="F249" s="2122">
        <v>0.1</v>
      </c>
    </row>
    <row r="250" spans="1:6" ht="14.25" thickBot="1">
      <c r="A250" s="1531" t="s">
        <v>1551</v>
      </c>
      <c r="B250" s="1525" t="s">
        <v>2245</v>
      </c>
      <c r="C250" s="2121">
        <v>0.15</v>
      </c>
      <c r="D250" s="2121">
        <v>0.15</v>
      </c>
      <c r="E250" s="2121">
        <v>0.15</v>
      </c>
      <c r="F250" s="2122">
        <v>0.14399999999999999</v>
      </c>
    </row>
    <row r="251" spans="1:6" ht="14.25" thickBot="1">
      <c r="A251" s="1531" t="s">
        <v>1551</v>
      </c>
      <c r="B251" s="1525" t="s">
        <v>1276</v>
      </c>
      <c r="C251" s="2121">
        <v>0.15</v>
      </c>
      <c r="D251" s="2121">
        <v>0.15</v>
      </c>
      <c r="E251" s="2121">
        <v>0.15</v>
      </c>
      <c r="F251" s="2122">
        <v>0.14299999999999999</v>
      </c>
    </row>
    <row r="252" spans="1:6" ht="14.25" thickBot="1">
      <c r="A252" s="1531" t="s">
        <v>1551</v>
      </c>
      <c r="B252" s="1525" t="s">
        <v>1287</v>
      </c>
      <c r="C252" s="2121">
        <v>0.15</v>
      </c>
      <c r="D252" s="2121">
        <v>0.15</v>
      </c>
      <c r="E252" s="2121">
        <v>0.15</v>
      </c>
      <c r="F252" s="2122">
        <v>0.1</v>
      </c>
    </row>
    <row r="253" spans="1:6" ht="14.25" thickBot="1">
      <c r="A253" s="1531" t="s">
        <v>1551</v>
      </c>
      <c r="B253" s="1525" t="s">
        <v>1299</v>
      </c>
      <c r="C253" s="2121">
        <v>0.15</v>
      </c>
      <c r="D253" s="2121">
        <v>0.15</v>
      </c>
      <c r="E253" s="2121">
        <v>0.15</v>
      </c>
      <c r="F253" s="2122">
        <v>0.1</v>
      </c>
    </row>
    <row r="254" spans="1:6" ht="14.25" thickBot="1">
      <c r="A254" s="1531" t="s">
        <v>1551</v>
      </c>
      <c r="B254" s="1525" t="s">
        <v>1309</v>
      </c>
      <c r="C254" s="2134"/>
      <c r="D254" s="2134"/>
      <c r="E254" s="2134"/>
      <c r="F254" s="2122">
        <v>0.15</v>
      </c>
    </row>
    <row r="255" spans="1:6" ht="14.25" thickBot="1">
      <c r="A255" s="1531" t="s">
        <v>1551</v>
      </c>
      <c r="B255" s="1525" t="s">
        <v>1319</v>
      </c>
      <c r="C255" s="2134"/>
      <c r="D255" s="2134"/>
      <c r="E255" s="2134"/>
      <c r="F255" s="2122">
        <v>0.14299999999999999</v>
      </c>
    </row>
    <row r="256" spans="1:6" ht="14.25" thickBot="1">
      <c r="A256" s="1531" t="s">
        <v>1551</v>
      </c>
      <c r="B256" s="1525" t="s">
        <v>2246</v>
      </c>
      <c r="C256" s="2121">
        <v>0.14599999999999999</v>
      </c>
      <c r="D256" s="2121">
        <v>0.14699999999999999</v>
      </c>
      <c r="E256" s="2121">
        <v>0.15</v>
      </c>
      <c r="F256" s="2122">
        <v>0.13200000000000001</v>
      </c>
    </row>
    <row r="257" spans="1:6" ht="14.25" thickBot="1">
      <c r="A257" s="1531" t="s">
        <v>1551</v>
      </c>
      <c r="B257" s="1525" t="s">
        <v>1339</v>
      </c>
      <c r="C257" s="2121">
        <v>0.15</v>
      </c>
      <c r="D257" s="2121">
        <v>0.15</v>
      </c>
      <c r="E257" s="2121">
        <v>0.15</v>
      </c>
      <c r="F257" s="2122">
        <v>0.13900000000000001</v>
      </c>
    </row>
    <row r="258" spans="1:6" ht="14.25" thickBot="1">
      <c r="A258" s="1531" t="s">
        <v>1551</v>
      </c>
      <c r="B258" s="1525" t="s">
        <v>1350</v>
      </c>
      <c r="C258" s="2121">
        <v>0.15</v>
      </c>
      <c r="D258" s="2121">
        <v>0.15</v>
      </c>
      <c r="E258" s="2121">
        <v>0.15</v>
      </c>
      <c r="F258" s="2122">
        <v>0.13</v>
      </c>
    </row>
    <row r="259" spans="1:6" ht="14.25" thickBot="1">
      <c r="A259" s="1531" t="s">
        <v>1551</v>
      </c>
      <c r="B259" s="1525" t="s">
        <v>2247</v>
      </c>
      <c r="C259" s="2121">
        <v>0.14799999999999999</v>
      </c>
      <c r="D259" s="2121">
        <v>0.14899999999999999</v>
      </c>
      <c r="E259" s="2121">
        <v>0.15</v>
      </c>
      <c r="F259" s="2122">
        <v>0.13700000000000001</v>
      </c>
    </row>
    <row r="260" spans="1:6" ht="14.25" thickBot="1">
      <c r="A260" s="1531" t="s">
        <v>1551</v>
      </c>
      <c r="B260" s="1525" t="s">
        <v>1371</v>
      </c>
      <c r="C260" s="2121">
        <v>0.15</v>
      </c>
      <c r="D260" s="2121">
        <v>0.15</v>
      </c>
      <c r="E260" s="2121">
        <v>0.15</v>
      </c>
      <c r="F260" s="2122">
        <v>0.14199999999999999</v>
      </c>
    </row>
    <row r="261" spans="1:6" ht="14.25" thickBot="1">
      <c r="A261" s="1531" t="s">
        <v>1551</v>
      </c>
      <c r="B261" s="1525" t="s">
        <v>1381</v>
      </c>
      <c r="C261" s="2121">
        <v>0.15</v>
      </c>
      <c r="D261" s="2121">
        <v>0.15</v>
      </c>
      <c r="E261" s="2121">
        <v>0.14899999999999999</v>
      </c>
      <c r="F261" s="2122">
        <v>0.14799999999999999</v>
      </c>
    </row>
    <row r="262" spans="1:6" ht="14.25" thickBot="1">
      <c r="A262" s="1531" t="s">
        <v>1551</v>
      </c>
      <c r="B262" s="1525" t="s">
        <v>1391</v>
      </c>
      <c r="C262" s="2121">
        <v>0.15</v>
      </c>
      <c r="D262" s="2121">
        <v>0.15</v>
      </c>
      <c r="E262" s="2121">
        <v>0.15</v>
      </c>
      <c r="F262" s="2133"/>
    </row>
    <row r="263" spans="1:6" ht="14.25" thickBot="1">
      <c r="A263" s="1531" t="s">
        <v>1551</v>
      </c>
      <c r="B263" s="1525" t="s">
        <v>2248</v>
      </c>
      <c r="C263" s="2121">
        <v>0.14899999999999999</v>
      </c>
      <c r="D263" s="2121">
        <v>0.14899999999999999</v>
      </c>
      <c r="E263" s="2121">
        <v>0.15</v>
      </c>
      <c r="F263" s="2122">
        <v>0.13</v>
      </c>
    </row>
    <row r="264" spans="1:6" ht="14.25" thickBot="1">
      <c r="A264" s="1531" t="s">
        <v>1551</v>
      </c>
      <c r="B264" s="1525" t="s">
        <v>1410</v>
      </c>
      <c r="C264" s="2121">
        <v>0.14799999999999999</v>
      </c>
      <c r="D264" s="2121">
        <v>0.14699999999999999</v>
      </c>
      <c r="E264" s="2121">
        <v>0.15</v>
      </c>
      <c r="F264" s="2122">
        <v>7.8E-2</v>
      </c>
    </row>
    <row r="265" spans="1:6" ht="14.25" thickBot="1">
      <c r="A265" s="1531" t="s">
        <v>1551</v>
      </c>
      <c r="B265" s="1525" t="s">
        <v>1419</v>
      </c>
      <c r="C265" s="2121">
        <v>0.15</v>
      </c>
      <c r="D265" s="2121">
        <v>0.15</v>
      </c>
      <c r="E265" s="2121">
        <v>0.15</v>
      </c>
      <c r="F265" s="2122">
        <v>7.3999999999999996E-2</v>
      </c>
    </row>
    <row r="266" spans="1:6" ht="14.25" thickBot="1">
      <c r="A266" s="1531" t="s">
        <v>1551</v>
      </c>
      <c r="B266" s="1525" t="s">
        <v>1427</v>
      </c>
      <c r="C266" s="2121">
        <v>0.14699999999999999</v>
      </c>
      <c r="D266" s="2121">
        <v>0.14699999999999999</v>
      </c>
      <c r="E266" s="2121">
        <v>0.15</v>
      </c>
      <c r="F266" s="2122">
        <v>0.14299999999999999</v>
      </c>
    </row>
    <row r="267" spans="1:6" ht="14.25" thickBot="1">
      <c r="A267" s="1531" t="s">
        <v>1551</v>
      </c>
      <c r="B267" s="1525" t="s">
        <v>1434</v>
      </c>
      <c r="C267" s="2121">
        <v>0.14199999999999999</v>
      </c>
      <c r="D267" s="2121">
        <v>0.14299999999999999</v>
      </c>
      <c r="E267" s="2121">
        <v>0.15</v>
      </c>
      <c r="F267" s="2133"/>
    </row>
    <row r="268" spans="1:6" ht="14.25" thickBot="1">
      <c r="A268" s="1531" t="s">
        <v>1551</v>
      </c>
      <c r="B268" s="1525" t="s">
        <v>2249</v>
      </c>
      <c r="C268" s="2121">
        <v>0.15</v>
      </c>
      <c r="D268" s="2121">
        <v>0.15</v>
      </c>
      <c r="E268" s="2121">
        <v>0.15</v>
      </c>
      <c r="F268" s="2122">
        <v>0.13</v>
      </c>
    </row>
    <row r="269" spans="1:6" ht="14.25" thickBot="1">
      <c r="A269" s="1531" t="s">
        <v>1551</v>
      </c>
      <c r="B269" s="1525" t="s">
        <v>1448</v>
      </c>
      <c r="C269" s="2121">
        <v>0.15</v>
      </c>
      <c r="D269" s="2121">
        <v>0.15</v>
      </c>
      <c r="E269" s="2121">
        <v>0.15</v>
      </c>
      <c r="F269" s="2122">
        <v>0.14299999999999999</v>
      </c>
    </row>
    <row r="270" spans="1:6" ht="14.25" thickBot="1">
      <c r="A270" s="1531" t="s">
        <v>1551</v>
      </c>
      <c r="B270" s="1525" t="s">
        <v>1455</v>
      </c>
      <c r="C270" s="2121">
        <v>0.14499999999999999</v>
      </c>
      <c r="D270" s="2121">
        <v>0.14499999999999999</v>
      </c>
      <c r="E270" s="2121">
        <v>0.15</v>
      </c>
      <c r="F270" s="2122">
        <v>0.14699999999999999</v>
      </c>
    </row>
    <row r="271" spans="1:6" ht="14.25" thickBot="1">
      <c r="A271" s="1531" t="s">
        <v>1551</v>
      </c>
      <c r="B271" s="1525" t="s">
        <v>1462</v>
      </c>
      <c r="C271" s="2121">
        <v>0.15</v>
      </c>
      <c r="D271" s="2121">
        <v>0.15</v>
      </c>
      <c r="E271" s="2121">
        <v>0.15</v>
      </c>
      <c r="F271" s="2122">
        <v>0.13800000000000001</v>
      </c>
    </row>
    <row r="272" spans="1:6" ht="14.25" thickBot="1">
      <c r="A272" s="1531" t="s">
        <v>1551</v>
      </c>
      <c r="B272" s="1525" t="s">
        <v>1469</v>
      </c>
      <c r="C272" s="2134"/>
      <c r="D272" s="2134"/>
      <c r="E272" s="2134"/>
      <c r="F272" s="2122">
        <v>0.14000000000000001</v>
      </c>
    </row>
    <row r="273" spans="1:6" ht="14.25" thickBot="1">
      <c r="A273" s="1531" t="s">
        <v>1551</v>
      </c>
      <c r="B273" s="1525" t="s">
        <v>2250</v>
      </c>
      <c r="C273" s="2121">
        <v>0.14199999999999999</v>
      </c>
      <c r="D273" s="2121">
        <v>0.14299999999999999</v>
      </c>
      <c r="E273" s="2121">
        <v>0.15</v>
      </c>
      <c r="F273" s="2122">
        <v>0.1</v>
      </c>
    </row>
    <row r="274" spans="1:6" ht="14.25" thickBot="1">
      <c r="A274" s="1531" t="s">
        <v>1551</v>
      </c>
      <c r="B274" s="1525" t="s">
        <v>2251</v>
      </c>
      <c r="C274" s="2121">
        <v>0.14799999999999999</v>
      </c>
      <c r="D274" s="2121">
        <v>0.14799999999999999</v>
      </c>
      <c r="E274" s="2121">
        <v>0.15</v>
      </c>
      <c r="F274" s="2122">
        <v>6.7000000000000004E-2</v>
      </c>
    </row>
    <row r="275" spans="1:6" ht="14.25" thickBot="1">
      <c r="A275" s="1531" t="s">
        <v>1551</v>
      </c>
      <c r="B275" s="1525" t="s">
        <v>2252</v>
      </c>
      <c r="C275" s="2121">
        <v>0.15</v>
      </c>
      <c r="D275" s="2121">
        <v>0.15</v>
      </c>
      <c r="E275" s="2121">
        <v>0.15</v>
      </c>
      <c r="F275" s="2122">
        <v>0.15</v>
      </c>
    </row>
    <row r="276" spans="1:6" ht="14.25" thickBot="1">
      <c r="A276" s="1531" t="s">
        <v>1551</v>
      </c>
      <c r="B276" s="1525" t="s">
        <v>2253</v>
      </c>
      <c r="C276" s="2121">
        <v>0.14499999999999999</v>
      </c>
      <c r="D276" s="2121">
        <v>0.14299999999999999</v>
      </c>
      <c r="E276" s="2121">
        <v>0.15</v>
      </c>
      <c r="F276" s="2122">
        <v>5.8999999999999997E-2</v>
      </c>
    </row>
    <row r="277" spans="1:6" ht="14.25" thickBot="1">
      <c r="A277" s="1531" t="s">
        <v>1551</v>
      </c>
      <c r="B277" s="1525" t="s">
        <v>2254</v>
      </c>
      <c r="C277" s="2121">
        <v>0.15</v>
      </c>
      <c r="D277" s="2121">
        <v>0.15</v>
      </c>
      <c r="E277" s="2121">
        <v>0.15</v>
      </c>
      <c r="F277" s="2122">
        <v>0.121</v>
      </c>
    </row>
    <row r="278" spans="1:6" ht="14.25" thickBot="1">
      <c r="A278" s="1531" t="s">
        <v>1551</v>
      </c>
      <c r="B278" s="1525" t="s">
        <v>2255</v>
      </c>
      <c r="C278" s="2121">
        <v>0.15</v>
      </c>
      <c r="D278" s="2121">
        <v>0.15</v>
      </c>
      <c r="E278" s="2121">
        <v>0.15</v>
      </c>
      <c r="F278" s="2122">
        <v>0.13800000000000001</v>
      </c>
    </row>
    <row r="279" spans="1:6" ht="24.75" thickBot="1">
      <c r="A279" s="1531" t="s">
        <v>1551</v>
      </c>
      <c r="B279" s="1525" t="s">
        <v>2256</v>
      </c>
      <c r="C279" s="2134"/>
      <c r="D279" s="2134"/>
      <c r="E279" s="2134"/>
      <c r="F279" s="2122">
        <v>0.05</v>
      </c>
    </row>
    <row r="280" spans="1:6" ht="24.75" thickBot="1">
      <c r="A280" s="1531" t="s">
        <v>1551</v>
      </c>
      <c r="B280" s="1525" t="s">
        <v>2257</v>
      </c>
      <c r="C280" s="2134"/>
      <c r="D280" s="2134"/>
      <c r="E280" s="2134"/>
      <c r="F280" s="2122">
        <v>0.05</v>
      </c>
    </row>
    <row r="281" spans="1:6" ht="24.75" thickBot="1">
      <c r="A281" s="1531" t="s">
        <v>1551</v>
      </c>
      <c r="B281" s="1525" t="s">
        <v>2258</v>
      </c>
      <c r="C281" s="2134"/>
      <c r="D281" s="2134"/>
      <c r="E281" s="2134"/>
      <c r="F281" s="2122">
        <v>0.05</v>
      </c>
    </row>
    <row r="282" spans="1:6" ht="24.75" thickBot="1">
      <c r="A282" s="1531" t="s">
        <v>1551</v>
      </c>
      <c r="B282" s="1525" t="s">
        <v>2259</v>
      </c>
      <c r="C282" s="2134"/>
      <c r="D282" s="2134"/>
      <c r="E282" s="2134"/>
      <c r="F282" s="2122">
        <v>0.05</v>
      </c>
    </row>
    <row r="283" spans="1:6" ht="24.75" thickBot="1">
      <c r="A283" s="1531" t="s">
        <v>1551</v>
      </c>
      <c r="B283" s="1525" t="s">
        <v>2260</v>
      </c>
      <c r="C283" s="2134"/>
      <c r="D283" s="2134"/>
      <c r="E283" s="2134"/>
      <c r="F283" s="2122">
        <v>0.05</v>
      </c>
    </row>
    <row r="284" spans="1:6" ht="24.75" thickBot="1">
      <c r="A284" s="1531" t="s">
        <v>1551</v>
      </c>
      <c r="B284" s="1525" t="s">
        <v>2261</v>
      </c>
      <c r="C284" s="2134"/>
      <c r="D284" s="2134"/>
      <c r="E284" s="2134"/>
      <c r="F284" s="2122">
        <v>0.05</v>
      </c>
    </row>
    <row r="285" spans="1:6" ht="24.75" thickBot="1">
      <c r="A285" s="1531" t="s">
        <v>1551</v>
      </c>
      <c r="B285" s="1525" t="s">
        <v>2262</v>
      </c>
      <c r="C285" s="2134"/>
      <c r="D285" s="2134"/>
      <c r="E285" s="2134"/>
      <c r="F285" s="2122">
        <v>0.05</v>
      </c>
    </row>
    <row r="286" spans="1:6" ht="24.75" thickBot="1">
      <c r="A286" s="1531" t="s">
        <v>1551</v>
      </c>
      <c r="B286" s="1525" t="s">
        <v>2263</v>
      </c>
      <c r="C286" s="2134"/>
      <c r="D286" s="2134"/>
      <c r="E286" s="2134"/>
      <c r="F286" s="2122">
        <v>0.05</v>
      </c>
    </row>
    <row r="287" spans="1:6" ht="24.75" thickBot="1">
      <c r="A287" s="1531" t="s">
        <v>1551</v>
      </c>
      <c r="B287" s="1525" t="s">
        <v>2264</v>
      </c>
      <c r="C287" s="2134"/>
      <c r="D287" s="2134"/>
      <c r="E287" s="2134"/>
      <c r="F287" s="2122">
        <v>0.05</v>
      </c>
    </row>
    <row r="288" spans="1:6" ht="24.75" thickBot="1">
      <c r="A288" s="1531" t="s">
        <v>1551</v>
      </c>
      <c r="B288" s="1525" t="s">
        <v>2265</v>
      </c>
      <c r="C288" s="2134"/>
      <c r="D288" s="2134"/>
      <c r="E288" s="2134"/>
      <c r="F288" s="2122">
        <v>0.05</v>
      </c>
    </row>
    <row r="289" spans="1:6" ht="24.75" thickBot="1">
      <c r="A289" s="1541" t="s">
        <v>1551</v>
      </c>
      <c r="B289" s="1537" t="s">
        <v>2266</v>
      </c>
      <c r="C289" s="2131"/>
      <c r="D289" s="2131"/>
      <c r="E289" s="2131"/>
      <c r="F289" s="2124">
        <v>0.05</v>
      </c>
    </row>
    <row r="290" spans="1:6" ht="14.25" thickBot="1">
      <c r="A290" s="1531" t="s">
        <v>1555</v>
      </c>
      <c r="B290" s="1532" t="s">
        <v>2267</v>
      </c>
      <c r="C290" s="2119">
        <v>0.15</v>
      </c>
      <c r="D290" s="2119">
        <v>0.15</v>
      </c>
      <c r="E290" s="2119">
        <v>0.15</v>
      </c>
      <c r="F290" s="2136"/>
    </row>
    <row r="291" spans="1:6" ht="14.25" thickBot="1">
      <c r="A291" s="1531" t="s">
        <v>1555</v>
      </c>
      <c r="B291" s="1525" t="s">
        <v>1217</v>
      </c>
      <c r="C291" s="2121">
        <v>0.15</v>
      </c>
      <c r="D291" s="2121">
        <v>0.15</v>
      </c>
      <c r="E291" s="2121">
        <v>0.15</v>
      </c>
      <c r="F291" s="2133"/>
    </row>
    <row r="292" spans="1:6" ht="14.25" thickBot="1">
      <c r="A292" s="1531" t="s">
        <v>1555</v>
      </c>
      <c r="B292" s="1525" t="s">
        <v>2268</v>
      </c>
      <c r="C292" s="2121">
        <v>0.15</v>
      </c>
      <c r="D292" s="2121">
        <v>0.15</v>
      </c>
      <c r="E292" s="2121">
        <v>0.15</v>
      </c>
      <c r="F292" s="2122">
        <v>0.14699999999999999</v>
      </c>
    </row>
    <row r="293" spans="1:6" ht="14.25" thickBot="1">
      <c r="A293" s="1531" t="s">
        <v>1555</v>
      </c>
      <c r="B293" s="1525" t="s">
        <v>2269</v>
      </c>
      <c r="C293" s="2134"/>
      <c r="D293" s="2134"/>
      <c r="E293" s="2134"/>
      <c r="F293" s="2122">
        <v>0.1</v>
      </c>
    </row>
    <row r="294" spans="1:6" ht="14.25" thickBot="1">
      <c r="A294" s="1531" t="s">
        <v>1555</v>
      </c>
      <c r="B294" s="1525" t="s">
        <v>2270</v>
      </c>
      <c r="C294" s="2121">
        <v>0.15</v>
      </c>
      <c r="D294" s="2121">
        <v>0.15</v>
      </c>
      <c r="E294" s="2121">
        <v>0.15</v>
      </c>
      <c r="F294" s="2122">
        <v>0.15</v>
      </c>
    </row>
    <row r="295" spans="1:6" ht="14.25" thickBot="1">
      <c r="A295" s="1531" t="s">
        <v>1555</v>
      </c>
      <c r="B295" s="1525" t="s">
        <v>1255</v>
      </c>
      <c r="C295" s="2121">
        <v>0.15</v>
      </c>
      <c r="D295" s="2121">
        <v>0.15</v>
      </c>
      <c r="E295" s="2121">
        <v>0.15</v>
      </c>
      <c r="F295" s="2122">
        <v>0.15</v>
      </c>
    </row>
    <row r="296" spans="1:6" ht="14.25" thickBot="1">
      <c r="A296" s="1531" t="s">
        <v>1555</v>
      </c>
      <c r="B296" s="1525" t="s">
        <v>2271</v>
      </c>
      <c r="C296" s="2121">
        <v>0.15</v>
      </c>
      <c r="D296" s="2121">
        <v>0.15</v>
      </c>
      <c r="E296" s="2121">
        <v>0.15</v>
      </c>
      <c r="F296" s="2122">
        <v>0.15</v>
      </c>
    </row>
    <row r="297" spans="1:6" ht="14.25" thickBot="1">
      <c r="A297" s="1531" t="s">
        <v>1555</v>
      </c>
      <c r="B297" s="1525" t="s">
        <v>2272</v>
      </c>
      <c r="C297" s="2121">
        <v>0.14799999999999999</v>
      </c>
      <c r="D297" s="2121">
        <v>0.14899999999999999</v>
      </c>
      <c r="E297" s="2121">
        <v>0.15</v>
      </c>
      <c r="F297" s="2122">
        <v>0.13700000000000001</v>
      </c>
    </row>
    <row r="298" spans="1:6" ht="14.25" thickBot="1">
      <c r="A298" s="1531" t="s">
        <v>1555</v>
      </c>
      <c r="B298" s="1525" t="s">
        <v>1288</v>
      </c>
      <c r="C298" s="2121">
        <v>0.13400000000000001</v>
      </c>
      <c r="D298" s="2121">
        <v>0.13400000000000001</v>
      </c>
      <c r="E298" s="2121">
        <v>0.14499999999999999</v>
      </c>
      <c r="F298" s="2122">
        <v>0.14799999999999999</v>
      </c>
    </row>
    <row r="299" spans="1:6" ht="14.25" thickBot="1">
      <c r="A299" s="1531" t="s">
        <v>1555</v>
      </c>
      <c r="B299" s="1525" t="s">
        <v>1300</v>
      </c>
      <c r="C299" s="2121">
        <v>0.15</v>
      </c>
      <c r="D299" s="2121">
        <v>0.15</v>
      </c>
      <c r="E299" s="2121">
        <v>0.15</v>
      </c>
      <c r="F299" s="2133"/>
    </row>
    <row r="300" spans="1:6" ht="14.25" thickBot="1">
      <c r="A300" s="1531" t="s">
        <v>1555</v>
      </c>
      <c r="B300" s="1525" t="s">
        <v>2273</v>
      </c>
      <c r="C300" s="2121">
        <v>0.15</v>
      </c>
      <c r="D300" s="2121">
        <v>0.15</v>
      </c>
      <c r="E300" s="2121">
        <v>0.15</v>
      </c>
      <c r="F300" s="2122">
        <v>0.15</v>
      </c>
    </row>
    <row r="301" spans="1:6" ht="14.25" thickBot="1">
      <c r="A301" s="1531" t="s">
        <v>1555</v>
      </c>
      <c r="B301" s="1525" t="s">
        <v>1320</v>
      </c>
      <c r="C301" s="2121">
        <v>0.15</v>
      </c>
      <c r="D301" s="2121">
        <v>0.15</v>
      </c>
      <c r="E301" s="2121">
        <v>0.15</v>
      </c>
      <c r="F301" s="2133"/>
    </row>
    <row r="302" spans="1:6" ht="14.25" thickBot="1">
      <c r="A302" s="1531" t="s">
        <v>1555</v>
      </c>
      <c r="B302" s="1525" t="s">
        <v>2274</v>
      </c>
      <c r="C302" s="2121">
        <v>0.15</v>
      </c>
      <c r="D302" s="2121">
        <v>0.15</v>
      </c>
      <c r="E302" s="2121">
        <v>0.15</v>
      </c>
      <c r="F302" s="2122">
        <v>0.15</v>
      </c>
    </row>
    <row r="303" spans="1:6" ht="14.25" thickBot="1">
      <c r="A303" s="1531" t="s">
        <v>1555</v>
      </c>
      <c r="B303" s="1525" t="s">
        <v>1340</v>
      </c>
      <c r="C303" s="2121">
        <v>0.15</v>
      </c>
      <c r="D303" s="2121">
        <v>0.15</v>
      </c>
      <c r="E303" s="2121">
        <v>0.15</v>
      </c>
      <c r="F303" s="2122">
        <v>0.15</v>
      </c>
    </row>
    <row r="304" spans="1:6" ht="14.25" thickBot="1">
      <c r="A304" s="1531" t="s">
        <v>1555</v>
      </c>
      <c r="B304" s="1525" t="s">
        <v>1351</v>
      </c>
      <c r="C304" s="2121">
        <v>0.15</v>
      </c>
      <c r="D304" s="2121">
        <v>0.15</v>
      </c>
      <c r="E304" s="2121">
        <v>0.15</v>
      </c>
      <c r="F304" s="2133"/>
    </row>
    <row r="305" spans="1:6" ht="14.25" thickBot="1">
      <c r="A305" s="1531" t="s">
        <v>1555</v>
      </c>
      <c r="B305" s="1525" t="s">
        <v>2275</v>
      </c>
      <c r="C305" s="2121">
        <v>0.15</v>
      </c>
      <c r="D305" s="2121">
        <v>0.15</v>
      </c>
      <c r="E305" s="2121">
        <v>0.15</v>
      </c>
      <c r="F305" s="2122">
        <v>0.14000000000000001</v>
      </c>
    </row>
    <row r="306" spans="1:6" ht="14.25" thickBot="1">
      <c r="A306" s="1531" t="s">
        <v>1555</v>
      </c>
      <c r="B306" s="1525" t="s">
        <v>1372</v>
      </c>
      <c r="C306" s="2121">
        <v>0.15</v>
      </c>
      <c r="D306" s="2121">
        <v>0.15</v>
      </c>
      <c r="E306" s="2121">
        <v>0.15</v>
      </c>
      <c r="F306" s="2133"/>
    </row>
    <row r="307" spans="1:6" ht="14.25" thickBot="1">
      <c r="A307" s="1531" t="s">
        <v>1555</v>
      </c>
      <c r="B307" s="1525" t="s">
        <v>2276</v>
      </c>
      <c r="C307" s="2121">
        <v>0.15</v>
      </c>
      <c r="D307" s="2121">
        <v>0.15</v>
      </c>
      <c r="E307" s="2121">
        <v>0.15</v>
      </c>
      <c r="F307" s="2122">
        <v>0.14299999999999999</v>
      </c>
    </row>
    <row r="308" spans="1:6" ht="14.25" thickBot="1">
      <c r="A308" s="1531" t="s">
        <v>1555</v>
      </c>
      <c r="B308" s="1525" t="s">
        <v>1392</v>
      </c>
      <c r="C308" s="2121">
        <v>0.15</v>
      </c>
      <c r="D308" s="2121">
        <v>0.15</v>
      </c>
      <c r="E308" s="2121">
        <v>0.15</v>
      </c>
      <c r="F308" s="2122">
        <v>0.15</v>
      </c>
    </row>
    <row r="309" spans="1:6" ht="14.25" thickBot="1">
      <c r="A309" s="1531" t="s">
        <v>1555</v>
      </c>
      <c r="B309" s="1525" t="s">
        <v>1402</v>
      </c>
      <c r="C309" s="2121">
        <v>0.15</v>
      </c>
      <c r="D309" s="2121">
        <v>0.15</v>
      </c>
      <c r="E309" s="2121">
        <v>0.15</v>
      </c>
      <c r="F309" s="2133"/>
    </row>
    <row r="310" spans="1:6" ht="14.25" thickBot="1">
      <c r="A310" s="1531" t="s">
        <v>1555</v>
      </c>
      <c r="B310" s="1525" t="s">
        <v>2277</v>
      </c>
      <c r="C310" s="2121">
        <v>0.15</v>
      </c>
      <c r="D310" s="2121">
        <v>0.15</v>
      </c>
      <c r="E310" s="2121">
        <v>0.15</v>
      </c>
      <c r="F310" s="2122">
        <v>0.13700000000000001</v>
      </c>
    </row>
    <row r="311" spans="1:6" ht="14.25" thickBot="1">
      <c r="A311" s="1531" t="s">
        <v>1555</v>
      </c>
      <c r="B311" s="1525" t="s">
        <v>2278</v>
      </c>
      <c r="C311" s="2121">
        <v>0.15</v>
      </c>
      <c r="D311" s="2121">
        <v>0.15</v>
      </c>
      <c r="E311" s="2121">
        <v>0.15</v>
      </c>
      <c r="F311" s="2122">
        <v>0.15</v>
      </c>
    </row>
    <row r="312" spans="1:6" ht="14.25" thickBot="1">
      <c r="A312" s="1531" t="s">
        <v>1555</v>
      </c>
      <c r="B312" s="1525" t="s">
        <v>1428</v>
      </c>
      <c r="C312" s="2121">
        <v>0.15</v>
      </c>
      <c r="D312" s="2121">
        <v>0.15</v>
      </c>
      <c r="E312" s="2121">
        <v>0.15</v>
      </c>
      <c r="F312" s="2122">
        <v>0.1</v>
      </c>
    </row>
    <row r="313" spans="1:6" ht="14.25" thickBot="1">
      <c r="A313" s="1531" t="s">
        <v>1555</v>
      </c>
      <c r="B313" s="1525" t="s">
        <v>2279</v>
      </c>
      <c r="C313" s="2121">
        <v>0.15</v>
      </c>
      <c r="D313" s="2121">
        <v>0.15</v>
      </c>
      <c r="E313" s="2121">
        <v>0.15</v>
      </c>
      <c r="F313" s="2122">
        <v>0.15</v>
      </c>
    </row>
    <row r="314" spans="1:6" ht="24.75" thickBot="1">
      <c r="A314" s="1531" t="s">
        <v>1555</v>
      </c>
      <c r="B314" s="1525" t="s">
        <v>2280</v>
      </c>
      <c r="C314" s="2134"/>
      <c r="D314" s="2134"/>
      <c r="E314" s="2134"/>
      <c r="F314" s="2122">
        <v>0.05</v>
      </c>
    </row>
    <row r="315" spans="1:6" ht="24.75" thickBot="1">
      <c r="A315" s="1531" t="s">
        <v>1555</v>
      </c>
      <c r="B315" s="1525" t="s">
        <v>2281</v>
      </c>
      <c r="C315" s="2134"/>
      <c r="D315" s="2134"/>
      <c r="E315" s="2134"/>
      <c r="F315" s="2122">
        <v>0.05</v>
      </c>
    </row>
    <row r="316" spans="1:6" ht="24.75" thickBot="1">
      <c r="A316" s="1541" t="s">
        <v>1555</v>
      </c>
      <c r="B316" s="1537" t="s">
        <v>2282</v>
      </c>
      <c r="C316" s="2131"/>
      <c r="D316" s="2131"/>
      <c r="E316" s="2131"/>
      <c r="F316" s="2124">
        <v>0.05</v>
      </c>
    </row>
    <row r="317" spans="1:6" ht="14.25" thickBot="1">
      <c r="A317" s="1531" t="s">
        <v>2283</v>
      </c>
      <c r="B317" s="1532" t="s">
        <v>2284</v>
      </c>
      <c r="C317" s="2119">
        <v>0.15</v>
      </c>
      <c r="D317" s="2119">
        <v>0.15</v>
      </c>
      <c r="E317" s="2119">
        <v>0.15</v>
      </c>
      <c r="F317" s="2120">
        <v>0.15</v>
      </c>
    </row>
    <row r="318" spans="1:6" ht="14.25" thickBot="1">
      <c r="A318" s="1531" t="s">
        <v>2283</v>
      </c>
      <c r="B318" s="1525" t="s">
        <v>2285</v>
      </c>
      <c r="C318" s="2121">
        <v>0.107</v>
      </c>
      <c r="D318" s="2121">
        <v>0.11</v>
      </c>
      <c r="E318" s="2121">
        <v>0.112</v>
      </c>
      <c r="F318" s="2133"/>
    </row>
    <row r="319" spans="1:6" ht="14.25" thickBot="1">
      <c r="A319" s="1531" t="s">
        <v>2283</v>
      </c>
      <c r="B319" s="1525" t="s">
        <v>2286</v>
      </c>
      <c r="C319" s="2121">
        <v>0.15</v>
      </c>
      <c r="D319" s="2121">
        <v>0.15</v>
      </c>
      <c r="E319" s="2121">
        <v>0.15</v>
      </c>
      <c r="F319" s="2122">
        <v>0.15</v>
      </c>
    </row>
    <row r="320" spans="1:6" ht="14.25" thickBot="1">
      <c r="A320" s="1531" t="s">
        <v>2283</v>
      </c>
      <c r="B320" s="1525" t="s">
        <v>1244</v>
      </c>
      <c r="C320" s="2121">
        <v>0.15</v>
      </c>
      <c r="D320" s="2121">
        <v>0.15</v>
      </c>
      <c r="E320" s="2121">
        <v>0.15</v>
      </c>
      <c r="F320" s="2133"/>
    </row>
    <row r="321" spans="1:6" ht="14.25" thickBot="1">
      <c r="A321" s="1531" t="s">
        <v>2283</v>
      </c>
      <c r="B321" s="1525" t="s">
        <v>2287</v>
      </c>
      <c r="C321" s="2121">
        <v>0.15</v>
      </c>
      <c r="D321" s="2121">
        <v>0.15</v>
      </c>
      <c r="E321" s="2121">
        <v>0.15</v>
      </c>
      <c r="F321" s="2133"/>
    </row>
    <row r="322" spans="1:6" ht="14.25" thickBot="1">
      <c r="A322" s="1531" t="s">
        <v>2283</v>
      </c>
      <c r="B322" s="1525" t="s">
        <v>2288</v>
      </c>
      <c r="C322" s="2121">
        <v>0.15</v>
      </c>
      <c r="D322" s="2121">
        <v>0.15</v>
      </c>
      <c r="E322" s="2121">
        <v>0.15</v>
      </c>
      <c r="F322" s="2122">
        <v>0.15</v>
      </c>
    </row>
    <row r="323" spans="1:6" ht="14.25" thickBot="1">
      <c r="A323" s="1531" t="s">
        <v>2283</v>
      </c>
      <c r="B323" s="1525" t="s">
        <v>2289</v>
      </c>
      <c r="C323" s="2121">
        <v>0.15</v>
      </c>
      <c r="D323" s="2121">
        <v>0.15</v>
      </c>
      <c r="E323" s="2121">
        <v>0.15</v>
      </c>
      <c r="F323" s="2133"/>
    </row>
    <row r="324" spans="1:6" ht="14.25" thickBot="1">
      <c r="A324" s="1531" t="s">
        <v>2283</v>
      </c>
      <c r="B324" s="1525" t="s">
        <v>2290</v>
      </c>
      <c r="C324" s="2121">
        <v>0.15</v>
      </c>
      <c r="D324" s="2121">
        <v>0.15</v>
      </c>
      <c r="E324" s="2121">
        <v>0.15</v>
      </c>
      <c r="F324" s="2133"/>
    </row>
    <row r="325" spans="1:6" ht="14.25" thickBot="1">
      <c r="A325" s="1531" t="s">
        <v>2283</v>
      </c>
      <c r="B325" s="1525" t="s">
        <v>2291</v>
      </c>
      <c r="C325" s="2121">
        <v>0.15</v>
      </c>
      <c r="D325" s="2121">
        <v>0.15</v>
      </c>
      <c r="E325" s="2121">
        <v>0.15</v>
      </c>
      <c r="F325" s="2122">
        <v>0.14699999999999999</v>
      </c>
    </row>
    <row r="326" spans="1:6" ht="14.25" thickBot="1">
      <c r="A326" s="1531" t="s">
        <v>2283</v>
      </c>
      <c r="B326" s="1525" t="s">
        <v>1311</v>
      </c>
      <c r="C326" s="2121">
        <v>0.15</v>
      </c>
      <c r="D326" s="2121">
        <v>0.15</v>
      </c>
      <c r="E326" s="2121">
        <v>0.15</v>
      </c>
      <c r="F326" s="2133"/>
    </row>
    <row r="327" spans="1:6" ht="14.25" thickBot="1">
      <c r="A327" s="1531" t="s">
        <v>2283</v>
      </c>
      <c r="B327" s="1525" t="s">
        <v>2292</v>
      </c>
      <c r="C327" s="2121">
        <v>0.15</v>
      </c>
      <c r="D327" s="2121">
        <v>0.15</v>
      </c>
      <c r="E327" s="2121">
        <v>0.15</v>
      </c>
      <c r="F327" s="2122">
        <v>0.15</v>
      </c>
    </row>
    <row r="328" spans="1:6" ht="14.25" thickBot="1">
      <c r="A328" s="1531" t="s">
        <v>2283</v>
      </c>
      <c r="B328" s="1525" t="s">
        <v>1331</v>
      </c>
      <c r="C328" s="2121">
        <v>0.15</v>
      </c>
      <c r="D328" s="2121">
        <v>0.15</v>
      </c>
      <c r="E328" s="2121">
        <v>0.15</v>
      </c>
      <c r="F328" s="2122">
        <v>0.14099999999999999</v>
      </c>
    </row>
    <row r="329" spans="1:6" ht="14.25" thickBot="1">
      <c r="A329" s="1531" t="s">
        <v>2283</v>
      </c>
      <c r="B329" s="1525" t="s">
        <v>1341</v>
      </c>
      <c r="C329" s="2121">
        <v>0.15</v>
      </c>
      <c r="D329" s="2121">
        <v>0.15</v>
      </c>
      <c r="E329" s="2121">
        <v>0.15</v>
      </c>
      <c r="F329" s="2122">
        <v>0.15</v>
      </c>
    </row>
    <row r="330" spans="1:6" ht="14.25" thickBot="1">
      <c r="A330" s="1531" t="s">
        <v>2283</v>
      </c>
      <c r="B330" s="1525" t="s">
        <v>1352</v>
      </c>
      <c r="C330" s="2121">
        <v>0.15</v>
      </c>
      <c r="D330" s="2121">
        <v>0.15</v>
      </c>
      <c r="E330" s="2121">
        <v>0.15</v>
      </c>
      <c r="F330" s="2133"/>
    </row>
    <row r="331" spans="1:6" ht="14.25" thickBot="1">
      <c r="A331" s="1531" t="s">
        <v>2283</v>
      </c>
      <c r="B331" s="1525" t="s">
        <v>2293</v>
      </c>
      <c r="C331" s="2121">
        <v>0.15</v>
      </c>
      <c r="D331" s="2121">
        <v>0.15</v>
      </c>
      <c r="E331" s="2121">
        <v>0.15</v>
      </c>
      <c r="F331" s="2122">
        <v>0.15</v>
      </c>
    </row>
    <row r="332" spans="1:6" ht="14.25" thickBot="1">
      <c r="A332" s="1531" t="s">
        <v>2283</v>
      </c>
      <c r="B332" s="1525" t="s">
        <v>1373</v>
      </c>
      <c r="C332" s="2121">
        <v>0.15</v>
      </c>
      <c r="D332" s="2121">
        <v>0.15</v>
      </c>
      <c r="E332" s="2121">
        <v>0.15</v>
      </c>
      <c r="F332" s="2122">
        <v>0.15</v>
      </c>
    </row>
    <row r="333" spans="1:6" ht="14.25" thickBot="1">
      <c r="A333" s="1531" t="s">
        <v>2283</v>
      </c>
      <c r="B333" s="1525" t="s">
        <v>2294</v>
      </c>
      <c r="C333" s="2121">
        <v>0.15</v>
      </c>
      <c r="D333" s="2121">
        <v>0.15</v>
      </c>
      <c r="E333" s="2121">
        <v>0.15</v>
      </c>
      <c r="F333" s="2122">
        <v>0.14099999999999999</v>
      </c>
    </row>
    <row r="334" spans="1:6" ht="14.25" thickBot="1">
      <c r="A334" s="1531" t="s">
        <v>2283</v>
      </c>
      <c r="B334" s="1525" t="s">
        <v>1393</v>
      </c>
      <c r="C334" s="2121">
        <v>0.15</v>
      </c>
      <c r="D334" s="2121">
        <v>0.15</v>
      </c>
      <c r="E334" s="2121">
        <v>0.15</v>
      </c>
      <c r="F334" s="2122">
        <v>0.15</v>
      </c>
    </row>
    <row r="335" spans="1:6" ht="14.25" thickBot="1">
      <c r="A335" s="1531" t="s">
        <v>2283</v>
      </c>
      <c r="B335" s="1525" t="s">
        <v>1403</v>
      </c>
      <c r="C335" s="2121">
        <v>0.15</v>
      </c>
      <c r="D335" s="2121">
        <v>0.15</v>
      </c>
      <c r="E335" s="2121">
        <v>0.15</v>
      </c>
      <c r="F335" s="2133"/>
    </row>
    <row r="336" spans="1:6" ht="14.25" thickBot="1">
      <c r="A336" s="1531" t="s">
        <v>2283</v>
      </c>
      <c r="B336" s="1525" t="s">
        <v>2295</v>
      </c>
      <c r="C336" s="2121">
        <v>0.15</v>
      </c>
      <c r="D336" s="2121">
        <v>0.15</v>
      </c>
      <c r="E336" s="2121">
        <v>0.15</v>
      </c>
      <c r="F336" s="2122">
        <v>0.11799999999999999</v>
      </c>
    </row>
    <row r="337" spans="1:6" ht="14.25" thickBot="1">
      <c r="A337" s="1541" t="s">
        <v>2283</v>
      </c>
      <c r="B337" s="1537" t="s">
        <v>1421</v>
      </c>
      <c r="C337" s="2131"/>
      <c r="D337" s="2131"/>
      <c r="E337" s="2131"/>
      <c r="F337" s="2124">
        <v>0.14299999999999999</v>
      </c>
    </row>
    <row r="338" spans="1:6" ht="14.25" thickBot="1">
      <c r="A338" s="1531" t="s">
        <v>2296</v>
      </c>
      <c r="B338" s="1532" t="s">
        <v>2297</v>
      </c>
      <c r="C338" s="2119">
        <v>0.15</v>
      </c>
      <c r="D338" s="2119">
        <v>0.15</v>
      </c>
      <c r="E338" s="2119">
        <v>0.15</v>
      </c>
      <c r="F338" s="2136"/>
    </row>
    <row r="339" spans="1:6" ht="14.25" thickBot="1">
      <c r="A339" s="1531" t="s">
        <v>2296</v>
      </c>
      <c r="B339" s="1525" t="s">
        <v>2298</v>
      </c>
      <c r="C339" s="2121">
        <v>0.15</v>
      </c>
      <c r="D339" s="2121">
        <v>0.15</v>
      </c>
      <c r="E339" s="2121">
        <v>0.15</v>
      </c>
      <c r="F339" s="2133"/>
    </row>
    <row r="340" spans="1:6" ht="14.25" thickBot="1">
      <c r="A340" s="1531" t="s">
        <v>2296</v>
      </c>
      <c r="B340" s="1525" t="s">
        <v>2299</v>
      </c>
      <c r="C340" s="2121">
        <v>0.15</v>
      </c>
      <c r="D340" s="2121">
        <v>0.15</v>
      </c>
      <c r="E340" s="2121">
        <v>0.15</v>
      </c>
      <c r="F340" s="2133"/>
    </row>
    <row r="341" spans="1:6" ht="14.25" thickBot="1">
      <c r="A341" s="1531" t="s">
        <v>2296</v>
      </c>
      <c r="B341" s="1525" t="s">
        <v>2300</v>
      </c>
      <c r="C341" s="2121">
        <v>0.15</v>
      </c>
      <c r="D341" s="2121">
        <v>0.15</v>
      </c>
      <c r="E341" s="2121">
        <v>0.15</v>
      </c>
      <c r="F341" s="2122">
        <v>0.15</v>
      </c>
    </row>
    <row r="342" spans="1:6" ht="14.25" thickBot="1">
      <c r="A342" s="1531" t="s">
        <v>2296</v>
      </c>
      <c r="B342" s="1525" t="s">
        <v>2301</v>
      </c>
      <c r="C342" s="2121">
        <v>0.15</v>
      </c>
      <c r="D342" s="2121">
        <v>0.15</v>
      </c>
      <c r="E342" s="2121">
        <v>0.15</v>
      </c>
      <c r="F342" s="2122">
        <v>0.15</v>
      </c>
    </row>
    <row r="343" spans="1:6" ht="14.25" thickBot="1">
      <c r="A343" s="1531" t="s">
        <v>2296</v>
      </c>
      <c r="B343" s="1525" t="s">
        <v>2302</v>
      </c>
      <c r="C343" s="2121">
        <v>0.15</v>
      </c>
      <c r="D343" s="2121">
        <v>0.15</v>
      </c>
      <c r="E343" s="2121">
        <v>0.15</v>
      </c>
      <c r="F343" s="2122">
        <v>0.15</v>
      </c>
    </row>
    <row r="344" spans="1:6" ht="14.25" thickBot="1">
      <c r="A344" s="1541" t="s">
        <v>2296</v>
      </c>
      <c r="B344" s="1537" t="s">
        <v>2303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2921</v>
      </c>
      <c r="C1" s="3202">
        <f>项目基本情况!D3</f>
        <v>42921</v>
      </c>
      <c r="D1" s="3208" t="s">
        <v>2922</v>
      </c>
      <c r="E1" s="3203">
        <f>'数据-取费表'!B22</f>
        <v>1</v>
      </c>
      <c r="F1" s="3208" t="s">
        <v>2923</v>
      </c>
      <c r="G1" s="3204">
        <f ca="1">INDIRECT("d"&amp;$K$1)/100</f>
        <v>4.3499999999999997E-2</v>
      </c>
      <c r="H1" s="3208" t="s">
        <v>2953</v>
      </c>
      <c r="I1" s="3204">
        <f ca="1">F4/100</f>
        <v>1.4999999999999999E-2</v>
      </c>
      <c r="J1" s="3209">
        <f>IF(C1&gt;C13,0,MATCH(C1,C$13:C$100,-1))+IF(SUMIF(C13:C100,C1,D13:D100)=0,13,12)</f>
        <v>13</v>
      </c>
      <c r="K1" s="3209">
        <f ca="1">MATCH(E1,C3:C7,1)+IF(SUMIF(C3:C7,E1,D3:D7)=0,2,1)</f>
        <v>4</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2924</v>
      </c>
      <c r="E2" s="3144"/>
      <c r="F2" s="3144" t="s">
        <v>2925</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2926</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2927</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2928</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2929</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2930</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2931</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2932</v>
      </c>
      <c r="C10" s="3172"/>
      <c r="D10" s="3172"/>
      <c r="E10" s="3172"/>
      <c r="F10" s="3172"/>
      <c r="G10" s="3172"/>
      <c r="H10" s="3172"/>
      <c r="I10" s="3146"/>
      <c r="J10" s="3146"/>
      <c r="K10" s="3172"/>
      <c r="L10" s="3173" t="s">
        <v>2933</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2934</v>
      </c>
      <c r="C11" s="3177" t="s">
        <v>2935</v>
      </c>
      <c r="D11" s="3178" t="s">
        <v>2936</v>
      </c>
      <c r="E11" s="3179"/>
      <c r="F11" s="3178" t="s">
        <v>2937</v>
      </c>
      <c r="G11" s="3180"/>
      <c r="H11" s="3179"/>
      <c r="I11" s="3178" t="s">
        <v>2938</v>
      </c>
      <c r="J11" s="3179"/>
      <c r="K11" s="3175"/>
      <c r="L11" s="3176" t="s">
        <v>2934</v>
      </c>
      <c r="M11" s="3177" t="s">
        <v>2935</v>
      </c>
      <c r="N11" s="3176" t="s">
        <v>2939</v>
      </c>
      <c r="O11" s="3178" t="s">
        <v>2940</v>
      </c>
      <c r="P11" s="3180"/>
      <c r="Q11" s="3180"/>
      <c r="R11" s="3180"/>
      <c r="S11" s="3180"/>
      <c r="T11" s="3179"/>
      <c r="U11" s="3178" t="s">
        <v>2941</v>
      </c>
      <c r="V11" s="3180"/>
      <c r="W11" s="3179"/>
      <c r="X11" s="3176" t="s">
        <v>2942</v>
      </c>
      <c r="Y11" s="3176" t="s">
        <v>2943</v>
      </c>
      <c r="Z11" s="3176" t="s">
        <v>2944</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2945</v>
      </c>
      <c r="E12" s="3185" t="s">
        <v>2946</v>
      </c>
      <c r="F12" s="3185" t="s">
        <v>2947</v>
      </c>
      <c r="G12" s="3185" t="s">
        <v>2948</v>
      </c>
      <c r="H12" s="3185" t="s">
        <v>2930</v>
      </c>
      <c r="I12" s="3186" t="s">
        <v>2949</v>
      </c>
      <c r="J12" s="3186" t="s">
        <v>2949</v>
      </c>
      <c r="K12" s="3182"/>
      <c r="L12" s="3183"/>
      <c r="M12" s="3184"/>
      <c r="N12" s="3183"/>
      <c r="O12" s="3186" t="s">
        <v>2950</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2951</v>
      </c>
      <c r="C13" s="3190">
        <v>42301</v>
      </c>
      <c r="D13" s="3191">
        <v>4.3499999999999996</v>
      </c>
      <c r="E13" s="3191">
        <v>4.3499999999999996</v>
      </c>
      <c r="F13" s="3191">
        <v>4.75</v>
      </c>
      <c r="G13" s="3191">
        <v>4.75</v>
      </c>
      <c r="H13" s="3191">
        <v>4.9000000000000004</v>
      </c>
      <c r="I13" s="3191">
        <v>2.75</v>
      </c>
      <c r="J13" s="3191">
        <v>3.25</v>
      </c>
      <c r="K13" s="3188"/>
      <c r="L13" s="3189" t="s">
        <v>2951</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2952</v>
      </c>
      <c r="Y42" s="3195" t="s">
        <v>2952</v>
      </c>
      <c r="Z42" s="3195" t="s">
        <v>2952</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2952</v>
      </c>
      <c r="Y43" s="3195" t="s">
        <v>2952</v>
      </c>
      <c r="Z43" s="3195" t="s">
        <v>2952</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2952</v>
      </c>
      <c r="Y44" s="3195" t="s">
        <v>2952</v>
      </c>
      <c r="Z44" s="3195" t="s">
        <v>2952</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2952</v>
      </c>
      <c r="Y45" s="3195" t="s">
        <v>2952</v>
      </c>
      <c r="Z45" s="3195" t="s">
        <v>2952</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2952</v>
      </c>
      <c r="Y46" s="3195" t="s">
        <v>2952</v>
      </c>
      <c r="Z46" s="3195" t="s">
        <v>2952</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2952</v>
      </c>
      <c r="Y47" s="3195" t="s">
        <v>2952</v>
      </c>
      <c r="Z47" s="3195" t="s">
        <v>2952</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2952</v>
      </c>
      <c r="Y48" s="3195" t="s">
        <v>2952</v>
      </c>
      <c r="Z48" s="3195" t="s">
        <v>2952</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2952</v>
      </c>
      <c r="Y49" s="3195" t="s">
        <v>2952</v>
      </c>
      <c r="Z49" s="3195" t="s">
        <v>2952</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2952</v>
      </c>
      <c r="Y50" s="3195" t="s">
        <v>2952</v>
      </c>
      <c r="Z50" s="3195" t="s">
        <v>2952</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2952</v>
      </c>
      <c r="V51" s="3195" t="s">
        <v>2952</v>
      </c>
      <c r="W51" s="3195" t="s">
        <v>2952</v>
      </c>
      <c r="X51" s="3195" t="s">
        <v>2952</v>
      </c>
      <c r="Y51" s="3195" t="s">
        <v>2952</v>
      </c>
      <c r="Z51" s="3195" t="s">
        <v>2952</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2952</v>
      </c>
      <c r="J55" s="3195" t="s">
        <v>2952</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
  <sheetViews>
    <sheetView workbookViewId="0">
      <selection activeCell="N20" sqref="N20"/>
    </sheetView>
  </sheetViews>
  <sheetFormatPr defaultRowHeight="13.5"/>
  <cols>
    <col min="1" max="1" width="13" customWidth="1"/>
  </cols>
  <sheetData>
    <row r="2" spans="1:9">
      <c r="A2" s="3336" t="s">
        <v>3180</v>
      </c>
      <c r="B2" s="3336" t="s">
        <v>3181</v>
      </c>
      <c r="C2" s="3336" t="s">
        <v>3182</v>
      </c>
      <c r="D2" s="3336" t="s">
        <v>3183</v>
      </c>
      <c r="E2" s="3336" t="s">
        <v>3184</v>
      </c>
      <c r="F2" s="3336" t="s">
        <v>3185</v>
      </c>
      <c r="G2" s="3336" t="s">
        <v>3186</v>
      </c>
      <c r="H2" s="3336" t="s">
        <v>3187</v>
      </c>
      <c r="I2" s="3336"/>
    </row>
    <row r="3" spans="1:9" ht="40.5">
      <c r="A3" s="3337" t="s">
        <v>3179</v>
      </c>
      <c r="B3" s="3337" t="s">
        <v>3188</v>
      </c>
      <c r="C3" s="3336" t="s">
        <v>3189</v>
      </c>
      <c r="D3" s="3336">
        <v>13961.7</v>
      </c>
      <c r="E3" s="3336" t="s">
        <v>3190</v>
      </c>
      <c r="F3" s="3336" t="s">
        <v>3191</v>
      </c>
      <c r="G3" s="3336"/>
      <c r="H3" s="3336">
        <v>2200</v>
      </c>
      <c r="I3" s="3336">
        <f>H3*D3/10000</f>
        <v>3071.5740000000001</v>
      </c>
    </row>
    <row r="4" spans="1:9">
      <c r="A4" s="3336"/>
      <c r="B4" s="3336"/>
      <c r="C4" s="3336" t="s">
        <v>3192</v>
      </c>
      <c r="D4" s="3336">
        <v>5100.5200000000004</v>
      </c>
      <c r="E4" s="3336" t="s">
        <v>3193</v>
      </c>
      <c r="F4" s="3336" t="s">
        <v>3194</v>
      </c>
      <c r="G4" s="3336"/>
      <c r="H4" s="3336">
        <v>2000</v>
      </c>
      <c r="I4" s="3336">
        <f>H4*D4/10000</f>
        <v>1020.104</v>
      </c>
    </row>
    <row r="5" spans="1:9">
      <c r="A5" s="3336" t="s">
        <v>3195</v>
      </c>
      <c r="B5" s="3336"/>
      <c r="C5" s="3336" t="s">
        <v>3196</v>
      </c>
      <c r="D5" s="3336">
        <v>1021.28</v>
      </c>
      <c r="E5" s="3336" t="s">
        <v>3197</v>
      </c>
      <c r="F5" s="3336" t="s">
        <v>3198</v>
      </c>
      <c r="G5" s="3336"/>
      <c r="H5" s="3336">
        <v>1000</v>
      </c>
      <c r="I5" s="3336">
        <f>H5*D5/10000</f>
        <v>102.128</v>
      </c>
    </row>
    <row r="6" spans="1:9">
      <c r="A6" s="3336"/>
      <c r="B6" s="3336"/>
      <c r="C6" s="3336"/>
      <c r="D6" s="3336">
        <v>20083.5</v>
      </c>
      <c r="E6" s="3336"/>
      <c r="F6" s="3336"/>
      <c r="G6" s="3336"/>
      <c r="H6" s="3336">
        <f>ROUND(I6*10000/D6,0)</f>
        <v>2088</v>
      </c>
      <c r="I6" s="3336">
        <f>ROUND(SUM(I3:I5),0)</f>
        <v>4194</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0" t="s">
        <v>2049</v>
      </c>
      <c r="B1" s="3350"/>
      <c r="C1" s="3350"/>
      <c r="D1" s="3350"/>
      <c r="E1" s="3350"/>
      <c r="F1" s="3350"/>
      <c r="G1" s="3350"/>
      <c r="H1" s="3350"/>
      <c r="I1" s="3350"/>
    </row>
    <row r="2" spans="1:9" ht="30" customHeight="1" thickTop="1">
      <c r="A2" s="3351" t="s">
        <v>2890</v>
      </c>
      <c r="B2" s="3351" t="s">
        <v>2050</v>
      </c>
      <c r="C2" s="3351" t="s">
        <v>2051</v>
      </c>
      <c r="D2" s="3351" t="str">
        <f>结果表!D116</f>
        <v>出让国有建设用地使用权价值</v>
      </c>
      <c r="E2" s="3351"/>
      <c r="F2" s="3351" t="str">
        <f>结果表!F116</f>
        <v>在建建筑物价值</v>
      </c>
      <c r="G2" s="3351"/>
      <c r="H2" s="3351" t="s">
        <v>6</v>
      </c>
      <c r="I2" s="3351"/>
    </row>
    <row r="3" spans="1:9" ht="14.25">
      <c r="A3" s="3352"/>
      <c r="B3" s="3352"/>
      <c r="C3" s="3352"/>
      <c r="D3" s="1915" t="s">
        <v>7</v>
      </c>
      <c r="E3" s="1915" t="s">
        <v>2052</v>
      </c>
      <c r="F3" s="1915" t="s">
        <v>7</v>
      </c>
      <c r="G3" s="1915" t="s">
        <v>8</v>
      </c>
      <c r="H3" s="1915" t="s">
        <v>7</v>
      </c>
      <c r="I3" s="1915" t="s">
        <v>8</v>
      </c>
    </row>
    <row r="4" spans="1:9" ht="15">
      <c r="A4" s="1985" t="str">
        <f>项目基本情况!S2</f>
        <v>房地产</v>
      </c>
      <c r="B4" s="1979">
        <f>项目基本情况!C17</f>
        <v>20083.5</v>
      </c>
      <c r="C4" s="1979">
        <f>项目基本情况!C18</f>
        <v>52242.5</v>
      </c>
      <c r="D4" s="1979">
        <f ca="1">结果表!D118</f>
        <v>921</v>
      </c>
      <c r="E4" s="1979">
        <f ca="1">结果表!E118</f>
        <v>459</v>
      </c>
      <c r="F4" s="1979">
        <f ca="1">结果表!F118</f>
        <v>4252</v>
      </c>
      <c r="G4" s="1979">
        <f ca="1">结果表!G118</f>
        <v>2117</v>
      </c>
      <c r="H4" s="1979">
        <f ca="1">结果表!H118</f>
        <v>5173</v>
      </c>
      <c r="I4" s="1979">
        <f ca="1">结果表!I118</f>
        <v>2576</v>
      </c>
    </row>
    <row r="5" spans="1:9" ht="30" customHeight="1">
      <c r="A5" s="3352" t="s">
        <v>9</v>
      </c>
      <c r="B5" s="3352"/>
      <c r="C5" s="3352"/>
      <c r="D5" s="3353" t="str">
        <f ca="1">结果表!D119</f>
        <v>玖佰贰拾壹万元整</v>
      </c>
      <c r="E5" s="3353"/>
      <c r="F5" s="3353" t="str">
        <f ca="1">结果表!F119</f>
        <v>肆仟贰佰伍拾贰万元整</v>
      </c>
      <c r="G5" s="3353"/>
      <c r="H5" s="3353" t="str">
        <f ca="1">结果表!H119</f>
        <v>伍仟壹佰柒拾叁万元整</v>
      </c>
      <c r="I5" s="3353"/>
    </row>
    <row r="6" spans="1:9" ht="15.75">
      <c r="A6" s="3354" t="str">
        <f>结果表!A120</f>
        <v>估价师知悉的法定优先受偿款</v>
      </c>
      <c r="B6" s="3354"/>
      <c r="C6" s="3354"/>
      <c r="D6" s="3355">
        <f>结果表!D120</f>
        <v>0</v>
      </c>
      <c r="E6" s="3355"/>
      <c r="F6" s="3355"/>
      <c r="G6" s="3355"/>
      <c r="H6" s="3355"/>
      <c r="I6" s="3355"/>
    </row>
    <row r="7" spans="1:9" ht="14.25">
      <c r="A7" s="3352" t="s">
        <v>9</v>
      </c>
      <c r="B7" s="3352"/>
      <c r="C7" s="3352"/>
      <c r="D7" s="3356" t="str">
        <f>结果表!D121</f>
        <v>零元整</v>
      </c>
      <c r="E7" s="3357"/>
      <c r="F7" s="3357"/>
      <c r="G7" s="3357"/>
      <c r="H7" s="3357"/>
      <c r="I7" s="3358"/>
    </row>
    <row r="8" spans="1:9" ht="15.75">
      <c r="A8" s="3354" t="str">
        <f>结果表!A122</f>
        <v>房地产抵押价值</v>
      </c>
      <c r="B8" s="3354"/>
      <c r="C8" s="3354"/>
      <c r="D8" s="3355">
        <f ca="1">结果表!D122</f>
        <v>5173</v>
      </c>
      <c r="E8" s="3355"/>
      <c r="F8" s="3355"/>
      <c r="G8" s="3355"/>
      <c r="H8" s="3355"/>
      <c r="I8" s="3355"/>
    </row>
    <row r="9" spans="1:9" ht="14.25">
      <c r="A9" s="3352" t="s">
        <v>9</v>
      </c>
      <c r="B9" s="3352"/>
      <c r="C9" s="3352"/>
      <c r="D9" s="3353" t="str">
        <f ca="1">结果表!D123</f>
        <v>伍仟壹佰柒拾叁万元整</v>
      </c>
      <c r="E9" s="3353"/>
      <c r="F9" s="3353"/>
      <c r="G9" s="3353"/>
      <c r="H9" s="3353"/>
      <c r="I9" s="3353"/>
    </row>
    <row r="10" spans="1:9" ht="15.75">
      <c r="A10" s="3354" t="str">
        <f>结果表!A124</f>
        <v/>
      </c>
      <c r="B10" s="3354"/>
      <c r="C10" s="3354"/>
      <c r="D10" s="3355" t="str">
        <f>结果表!D124</f>
        <v>——</v>
      </c>
      <c r="E10" s="3355"/>
      <c r="F10" s="3355"/>
      <c r="G10" s="3355"/>
      <c r="H10" s="3355"/>
      <c r="I10" s="3355"/>
    </row>
    <row r="11" spans="1:9" ht="14.25">
      <c r="A11" s="3352" t="s">
        <v>9</v>
      </c>
      <c r="B11" s="3352"/>
      <c r="C11" s="3352"/>
      <c r="D11" s="3353" t="e">
        <f>结果表!D125</f>
        <v>#VALUE!</v>
      </c>
      <c r="E11" s="3353"/>
      <c r="F11" s="3353"/>
      <c r="G11" s="3353"/>
      <c r="H11" s="3353"/>
      <c r="I11" s="3353"/>
    </row>
    <row r="12" spans="1:9" ht="15.75">
      <c r="A12" s="3354" t="str">
        <f>结果表!A126</f>
        <v/>
      </c>
      <c r="B12" s="3354"/>
      <c r="C12" s="3354"/>
      <c r="D12" s="3355" t="str">
        <f>结果表!D126</f>
        <v>——</v>
      </c>
      <c r="E12" s="3355"/>
      <c r="F12" s="3355"/>
      <c r="G12" s="3355"/>
      <c r="H12" s="3355"/>
      <c r="I12" s="3355"/>
    </row>
    <row r="13" spans="1:9" ht="15" thickBot="1">
      <c r="A13" s="3359" t="s">
        <v>9</v>
      </c>
      <c r="B13" s="3359"/>
      <c r="C13" s="3359"/>
      <c r="D13" s="3360" t="e">
        <f>结果表!D127</f>
        <v>#VALUE!</v>
      </c>
      <c r="E13" s="3360"/>
      <c r="F13" s="3360"/>
      <c r="G13" s="3360"/>
      <c r="H13" s="3360"/>
      <c r="I13" s="3360"/>
    </row>
    <row r="14" spans="1:9" ht="14.25" thickTop="1">
      <c r="A14" s="3361" t="s">
        <v>2053</v>
      </c>
      <c r="B14" s="3361"/>
      <c r="C14" s="3361"/>
      <c r="D14" s="3361"/>
      <c r="E14" s="3361"/>
      <c r="F14" s="3361"/>
      <c r="G14" s="3361"/>
      <c r="H14" s="3361"/>
      <c r="I14" s="3361"/>
    </row>
    <row r="16" spans="1:9" ht="18.75">
      <c r="A16" s="1994" t="s">
        <v>2054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2" t="s">
        <v>2866</v>
      </c>
      <c r="B1" s="3362"/>
      <c r="C1" s="3362"/>
      <c r="D1" s="3362"/>
    </row>
    <row r="2" spans="1:4" ht="18.75">
      <c r="A2" s="3363" t="s">
        <v>2124</v>
      </c>
      <c r="B2" s="3363"/>
      <c r="C2" s="3363"/>
      <c r="D2" s="3363"/>
    </row>
    <row r="3" spans="1:4" ht="18.75">
      <c r="A3" s="2614" t="s">
        <v>2125</v>
      </c>
      <c r="B3" s="2614" t="s">
        <v>2126</v>
      </c>
      <c r="C3" s="2614" t="s">
        <v>2127</v>
      </c>
      <c r="D3" s="2614" t="s">
        <v>2128</v>
      </c>
    </row>
    <row r="4" spans="1:4" ht="56.25" customHeight="1">
      <c r="A4" s="2620">
        <f>项目基本情况!B4</f>
        <v>0</v>
      </c>
      <c r="B4" s="2615">
        <f>项目基本情况!C4</f>
        <v>0</v>
      </c>
      <c r="C4" s="2618"/>
      <c r="D4" s="2616" t="s">
        <v>2129</v>
      </c>
    </row>
    <row r="5" spans="1:4" ht="56.25" customHeight="1">
      <c r="A5" s="2620">
        <f>项目基本情况!D4</f>
        <v>0</v>
      </c>
      <c r="B5" s="2615">
        <f>项目基本情况!E4</f>
        <v>0</v>
      </c>
      <c r="C5" s="2619"/>
      <c r="D5" s="2616" t="s">
        <v>2129</v>
      </c>
    </row>
    <row r="6" spans="1:4" ht="18.75">
      <c r="A6" s="3363" t="s">
        <v>2627</v>
      </c>
      <c r="B6" s="3363"/>
      <c r="C6" s="3363"/>
      <c r="D6" s="3363"/>
    </row>
    <row r="7" spans="1:4" ht="18.75">
      <c r="A7" s="2614" t="s">
        <v>2125</v>
      </c>
      <c r="B7" s="2615" t="s">
        <v>2130</v>
      </c>
      <c r="C7" s="2614" t="s">
        <v>2127</v>
      </c>
      <c r="D7" s="2614" t="s">
        <v>2128</v>
      </c>
    </row>
    <row r="8" spans="1:4" ht="56.25" customHeight="1">
      <c r="A8" s="2617" t="s">
        <v>2131</v>
      </c>
      <c r="B8" s="2617" t="s">
        <v>23</v>
      </c>
      <c r="C8" s="2618"/>
      <c r="D8" s="2616" t="s">
        <v>2129</v>
      </c>
    </row>
    <row r="9" spans="1:4">
      <c r="A9" s="1497"/>
      <c r="B9" s="1497"/>
      <c r="C9" s="1497"/>
      <c r="D9" s="1497"/>
    </row>
    <row r="10" spans="1:4" ht="18.75">
      <c r="A10" s="2096" t="s">
        <v>2132</v>
      </c>
      <c r="B10" s="1497"/>
      <c r="C10" s="1497"/>
      <c r="D10" s="1497"/>
    </row>
    <row r="11" spans="1:4" ht="30" customHeight="1">
      <c r="A11" s="3364" t="s">
        <v>2720</v>
      </c>
      <c r="B11" s="3365"/>
      <c r="C11" s="3365"/>
      <c r="D11" s="3365"/>
    </row>
    <row r="12" spans="1:4" ht="14.25">
      <c r="A12" s="3365" t="str">
        <f>IF(项目基本情况!B8="抵押","2.本《评估意见函》仅供金融机构进行内部审核使用，不做其他目的之用。","")</f>
        <v/>
      </c>
      <c r="B12" s="3366"/>
      <c r="C12" s="3366"/>
      <c r="D12" s="3366"/>
    </row>
    <row r="13" spans="1:4" ht="30" customHeight="1">
      <c r="A13" s="3365" t="str">
        <f>IF(项目基本情况!B8="抵押","3.抵押双方在办理抵押登记手续时，应使用本公司出具的正式《房地产评估报告》，特提醒报告使用者注意。","")</f>
        <v/>
      </c>
      <c r="B13" s="3366"/>
      <c r="C13" s="3366"/>
      <c r="D13" s="3366"/>
    </row>
    <row r="14" spans="1:4" ht="15.75" customHeight="1">
      <c r="A14" s="3365" t="str">
        <f>IF(项目基本情况!B8="抵押","4.本次评估估价师所知悉的法定优先受偿款情况说明如下：","")</f>
        <v/>
      </c>
      <c r="B14" s="3366"/>
      <c r="C14" s="3366"/>
      <c r="D14" s="3366"/>
    </row>
    <row r="15" spans="1:4" ht="42" customHeight="1">
      <c r="A15" s="3365" t="str">
        <f>IF(项目基本情况!B8="抵押","（1）"&amp;CONCATENATE(项目基本情况!L20,项目基本情况!L21,项目基本情况!L22),"")</f>
        <v/>
      </c>
      <c r="B15" s="3365"/>
      <c r="C15" s="3365"/>
      <c r="D15" s="3365"/>
    </row>
    <row r="16" spans="1:4" ht="30" customHeight="1">
      <c r="A16" s="3368" t="s">
        <v>2136</v>
      </c>
      <c r="B16" s="3368"/>
      <c r="C16" s="3368"/>
      <c r="D16" s="3368"/>
    </row>
    <row r="17" spans="1:4" ht="144" customHeight="1">
      <c r="A17" s="3368" t="s">
        <v>2137</v>
      </c>
      <c r="B17" s="3368"/>
      <c r="C17" s="3368"/>
      <c r="D17" s="3368"/>
    </row>
    <row r="18" spans="1:4" ht="15.75" customHeight="1">
      <c r="A18" s="3365" t="str">
        <f>IF(项目基本情况!B8="抵押",结果表!K120,"")</f>
        <v/>
      </c>
      <c r="B18" s="3365"/>
      <c r="C18" s="3365"/>
      <c r="D18" s="3365"/>
    </row>
    <row r="19" spans="1:4" ht="46.5" customHeight="1">
      <c r="A19" s="336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57.75" customHeight="1">
      <c r="A20" s="336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5"/>
      <c r="C20" s="3365"/>
      <c r="D20" s="3365"/>
    </row>
    <row r="21" spans="1:4" ht="57.75" customHeight="1">
      <c r="A21" s="3369"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9"/>
      <c r="C21" s="3369"/>
      <c r="D21" s="3369"/>
    </row>
    <row r="22" spans="1:4" ht="18.75" customHeight="1">
      <c r="A22" s="3370" t="s">
        <v>2888</v>
      </c>
      <c r="B22" s="3370"/>
      <c r="C22" s="3370"/>
      <c r="D22" s="3370"/>
    </row>
    <row r="23" spans="1:4">
      <c r="A23" s="1986"/>
      <c r="B23" s="1995"/>
      <c r="C23" s="1995"/>
      <c r="D23" s="1995"/>
    </row>
    <row r="24" spans="1:4">
      <c r="A24" s="1986"/>
      <c r="B24" s="1995"/>
      <c r="C24" s="1995"/>
      <c r="D24" s="1995"/>
    </row>
    <row r="25" spans="1:4" ht="18.75">
      <c r="A25" s="1984" t="s">
        <v>2133</v>
      </c>
    </row>
    <row r="26" spans="1:4" ht="18.75">
      <c r="A26" s="1956"/>
    </row>
    <row r="27" spans="1:4" ht="18.75">
      <c r="A27" s="1956" t="s">
        <v>2134</v>
      </c>
    </row>
    <row r="30" spans="1:4" ht="18.75">
      <c r="D30" s="1984" t="s">
        <v>2135</v>
      </c>
    </row>
    <row r="31" spans="1:4" ht="13.5" customHeight="1">
      <c r="C31" s="3367">
        <v>42551</v>
      </c>
      <c r="D31" s="336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2140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76" t="s">
        <v>558</v>
      </c>
      <c r="B15" s="3371" t="s">
        <v>1142</v>
      </c>
      <c r="C15" s="3372"/>
    </row>
    <row r="16" spans="1:7" ht="13.5">
      <c r="A16" s="3377"/>
      <c r="B16" s="3371" t="s">
        <v>531</v>
      </c>
      <c r="C16" s="3372"/>
    </row>
    <row r="17" spans="1:3" ht="13.5">
      <c r="A17" s="3377"/>
      <c r="B17" s="3374" t="s">
        <v>559</v>
      </c>
      <c r="C17" s="1150" t="s">
        <v>558</v>
      </c>
    </row>
    <row r="18" spans="1:3" ht="13.5">
      <c r="A18" s="3377"/>
      <c r="B18" s="3374"/>
      <c r="C18" s="1150" t="s">
        <v>560</v>
      </c>
    </row>
    <row r="19" spans="1:3" ht="13.5">
      <c r="A19" s="3377"/>
      <c r="B19" s="3374"/>
      <c r="C19" s="1150" t="s">
        <v>561</v>
      </c>
    </row>
    <row r="20" spans="1:3" ht="13.5">
      <c r="A20" s="3378"/>
      <c r="B20" s="3373" t="s">
        <v>562</v>
      </c>
      <c r="C20" s="3372"/>
    </row>
    <row r="21" spans="1:3" ht="13.5">
      <c r="A21" s="1151" t="s">
        <v>563</v>
      </c>
      <c r="B21" s="1152"/>
      <c r="C21" s="1153"/>
    </row>
    <row r="22" spans="1:3" ht="13.5">
      <c r="A22" s="3375" t="s">
        <v>564</v>
      </c>
      <c r="B22" s="3373" t="s">
        <v>565</v>
      </c>
      <c r="C22" s="3372"/>
    </row>
    <row r="23" spans="1:3" ht="13.5">
      <c r="A23" s="3375"/>
      <c r="B23" s="3373" t="s">
        <v>566</v>
      </c>
      <c r="C23" s="3372"/>
    </row>
    <row r="24" spans="1:3" ht="13.5">
      <c r="A24" s="3375"/>
      <c r="B24" s="3373" t="s">
        <v>567</v>
      </c>
      <c r="C24" s="3372"/>
    </row>
    <row r="25" spans="1:3" ht="13.5">
      <c r="A25" s="3375"/>
      <c r="B25" s="3374" t="s">
        <v>568</v>
      </c>
      <c r="C25" s="1150" t="s">
        <v>569</v>
      </c>
    </row>
    <row r="26" spans="1:3" ht="13.5">
      <c r="A26" s="3375"/>
      <c r="B26" s="3374"/>
      <c r="C26" s="1150" t="s">
        <v>570</v>
      </c>
    </row>
    <row r="27" spans="1:3" ht="13.5">
      <c r="A27" s="3375"/>
      <c r="B27" s="3374"/>
      <c r="C27" s="1150" t="s">
        <v>571</v>
      </c>
    </row>
    <row r="28" spans="1:3" ht="13.5">
      <c r="A28" s="3375"/>
      <c r="B28" s="3374"/>
      <c r="C28" s="1150" t="s">
        <v>572</v>
      </c>
    </row>
    <row r="29" spans="1:3" ht="13.5">
      <c r="A29" s="3375"/>
      <c r="B29" s="3374"/>
      <c r="C29" s="1150" t="s">
        <v>573</v>
      </c>
    </row>
    <row r="30" spans="1:3" ht="13.5">
      <c r="A30" s="3375"/>
      <c r="B30" s="3374"/>
      <c r="C30" s="1150" t="s">
        <v>574</v>
      </c>
    </row>
    <row r="31" spans="1:3" ht="13.5">
      <c r="A31" s="3375"/>
      <c r="B31" s="3374"/>
      <c r="C31" s="1150" t="s">
        <v>575</v>
      </c>
    </row>
    <row r="32" spans="1:3" ht="13.5">
      <c r="A32" s="3375"/>
      <c r="B32" s="3374"/>
      <c r="C32" s="1150" t="s">
        <v>576</v>
      </c>
    </row>
    <row r="33" spans="1:3" ht="13.5">
      <c r="A33" s="3375"/>
      <c r="B33" s="3374"/>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1976</v>
      </c>
      <c r="B2" s="1893">
        <f ca="1">TODAY()</f>
        <v>42922</v>
      </c>
      <c r="C2" s="1894" t="s">
        <v>1977</v>
      </c>
      <c r="D2" s="1894"/>
    </row>
    <row r="3" spans="1:6" ht="24" customHeight="1">
      <c r="A3" s="1895" t="s">
        <v>1978</v>
      </c>
      <c r="B3" s="1896" t="s">
        <v>1979</v>
      </c>
      <c r="C3" s="1896" t="s">
        <v>1980</v>
      </c>
      <c r="D3" s="1897" t="s">
        <v>1981</v>
      </c>
      <c r="E3" s="1898" t="s">
        <v>1982</v>
      </c>
      <c r="F3" s="1896" t="s">
        <v>1980</v>
      </c>
    </row>
    <row r="4" spans="1:6" ht="24" customHeight="1">
      <c r="A4" s="3210" t="s">
        <v>1983</v>
      </c>
      <c r="B4" s="1898">
        <f ca="1">IF(C4&lt;B2,"已过期",1119970066)</f>
        <v>1119970066</v>
      </c>
      <c r="C4" s="3211">
        <v>43849</v>
      </c>
      <c r="D4" s="3210" t="s">
        <v>1983</v>
      </c>
      <c r="E4" s="1898">
        <f ca="1">IF(F4&lt;B2,"已过期",96010014)</f>
        <v>96010014</v>
      </c>
      <c r="F4" s="1907">
        <v>47118</v>
      </c>
    </row>
    <row r="5" spans="1:6" ht="24" customHeight="1">
      <c r="A5" s="3210" t="s">
        <v>1984</v>
      </c>
      <c r="B5" s="1898">
        <f ca="1">IF(C5&lt;B2,"已过期",1119970074)</f>
        <v>1119970074</v>
      </c>
      <c r="C5" s="3211">
        <v>43849</v>
      </c>
      <c r="D5" s="3210" t="s">
        <v>1984</v>
      </c>
      <c r="E5" s="1898">
        <f ca="1">IF(F5&lt;B2,"已过期",2002110027)</f>
        <v>2002110027</v>
      </c>
      <c r="F5" s="1907">
        <v>46752</v>
      </c>
    </row>
    <row r="6" spans="1:6" ht="24" customHeight="1">
      <c r="A6" s="3210" t="s">
        <v>1985</v>
      </c>
      <c r="B6" s="1898">
        <f ca="1">IF(C6&lt;B2,"已过期",1119970111)</f>
        <v>1119970111</v>
      </c>
      <c r="C6" s="3211">
        <v>43849</v>
      </c>
      <c r="D6" s="3210" t="s">
        <v>1985</v>
      </c>
      <c r="E6" s="1898">
        <f ca="1">IF(F6&lt;B2,"已过期",94010078)</f>
        <v>94010078</v>
      </c>
      <c r="F6" s="1907">
        <v>46387</v>
      </c>
    </row>
    <row r="7" spans="1:6" ht="24" customHeight="1">
      <c r="A7" s="3210" t="s">
        <v>1986</v>
      </c>
      <c r="B7" s="1898">
        <f ca="1">IF(C7&lt;B2,"已过期",1120050019)</f>
        <v>1120050019</v>
      </c>
      <c r="C7" s="3211">
        <v>43359</v>
      </c>
      <c r="D7" s="3210" t="s">
        <v>1986</v>
      </c>
      <c r="E7" s="1898">
        <f ca="1">IF(F7&lt;B2,"已过期",2002110030)</f>
        <v>2002110030</v>
      </c>
      <c r="F7" s="1907">
        <v>46387</v>
      </c>
    </row>
    <row r="8" spans="1:6" ht="24" customHeight="1">
      <c r="A8" s="3210" t="s">
        <v>1987</v>
      </c>
      <c r="B8" s="1898">
        <f ca="1">IF(C8&lt;B2,"已过期",1120000080)</f>
        <v>1120000080</v>
      </c>
      <c r="C8" s="3211">
        <v>43849</v>
      </c>
      <c r="D8" s="3210" t="s">
        <v>1987</v>
      </c>
      <c r="E8" s="1898">
        <f ca="1">IF(F8&lt;B2,"已过期",2000110082)</f>
        <v>2000110082</v>
      </c>
      <c r="F8" s="1907">
        <v>46387</v>
      </c>
    </row>
    <row r="9" spans="1:6" ht="24" customHeight="1">
      <c r="A9" s="3210" t="s">
        <v>1988</v>
      </c>
      <c r="B9" s="1898">
        <f ca="1">IF(C9&lt;B2,"已过期",1419970001)</f>
        <v>1419970001</v>
      </c>
      <c r="C9" s="3211">
        <v>43867</v>
      </c>
      <c r="D9" s="3210" t="s">
        <v>1988</v>
      </c>
      <c r="E9" s="1898">
        <f ca="1">IF(F9&lt;B2,"已过期",2002110125)</f>
        <v>2002110125</v>
      </c>
      <c r="F9" s="1907">
        <v>47118</v>
      </c>
    </row>
    <row r="10" spans="1:6" ht="24" customHeight="1">
      <c r="A10" s="3210" t="s">
        <v>1989</v>
      </c>
      <c r="B10" s="1898">
        <f ca="1">IF(C10&lt;B2,"已过期",1120060040)</f>
        <v>1120060040</v>
      </c>
      <c r="C10" s="3211">
        <v>43483</v>
      </c>
      <c r="D10" s="3210" t="s">
        <v>1989</v>
      </c>
      <c r="E10" s="1898">
        <f ca="1">IF(F10&lt;B2,"已过期",2004110096)</f>
        <v>2004110096</v>
      </c>
      <c r="F10" s="1907">
        <v>47118</v>
      </c>
    </row>
    <row r="11" spans="1:6" ht="24" customHeight="1">
      <c r="A11" s="3210" t="s">
        <v>1990</v>
      </c>
      <c r="B11" s="1898">
        <f ca="1">IF(C11&lt;B2,"已过期",1120100036)</f>
        <v>1120100036</v>
      </c>
      <c r="C11" s="3211">
        <v>43622</v>
      </c>
      <c r="D11" s="3210" t="s">
        <v>1990</v>
      </c>
      <c r="E11" s="1898">
        <f ca="1">IF(F11&lt;B2,"已过期",2010110070)</f>
        <v>2010110070</v>
      </c>
      <c r="F11" s="1907">
        <v>47907</v>
      </c>
    </row>
    <row r="12" spans="1:6" ht="24" customHeight="1">
      <c r="A12" s="3210"/>
      <c r="B12" s="1898"/>
      <c r="C12" s="3211"/>
      <c r="D12" s="3210"/>
      <c r="E12" s="1898"/>
      <c r="F12" s="1898"/>
    </row>
    <row r="13" spans="1:6" ht="24" customHeight="1">
      <c r="A13" s="3210" t="s">
        <v>1991</v>
      </c>
      <c r="B13" s="1898">
        <f ca="1">IF(C13&lt;B2,"已过期",1120070131)</f>
        <v>1120070131</v>
      </c>
      <c r="C13" s="3211">
        <v>43814</v>
      </c>
      <c r="D13" s="3210" t="s">
        <v>1991</v>
      </c>
      <c r="E13" s="1898">
        <v>2014110011</v>
      </c>
      <c r="F13" s="1907">
        <v>49302</v>
      </c>
    </row>
    <row r="14" spans="1:6" ht="24" customHeight="1">
      <c r="A14" s="3210" t="s">
        <v>1992</v>
      </c>
      <c r="B14" s="1898">
        <f ca="1">IF(C14&lt;B2,"已过期",1120130020)</f>
        <v>1120130020</v>
      </c>
      <c r="C14" s="3211">
        <v>43622</v>
      </c>
      <c r="D14" s="3210"/>
      <c r="E14" s="1898"/>
      <c r="F14" s="1898"/>
    </row>
    <row r="15" spans="1:6" ht="24" customHeight="1">
      <c r="A15" s="3212" t="s">
        <v>2718</v>
      </c>
      <c r="B15" s="1898">
        <v>1120070085</v>
      </c>
      <c r="C15" s="3211">
        <v>43814</v>
      </c>
      <c r="D15" s="3212" t="s">
        <v>2718</v>
      </c>
      <c r="E15" s="1898">
        <v>2004110128</v>
      </c>
      <c r="F15" s="1899">
        <v>47118</v>
      </c>
    </row>
    <row r="16" spans="1:6" ht="24" customHeight="1">
      <c r="A16" s="3210" t="s">
        <v>1993</v>
      </c>
      <c r="B16" s="1898">
        <f ca="1">IF(C16&lt;B2,"已过期",1120140022)</f>
        <v>1120140022</v>
      </c>
      <c r="C16" s="3211">
        <v>42987</v>
      </c>
      <c r="D16" s="3210" t="s">
        <v>1993</v>
      </c>
      <c r="E16" s="1898">
        <f ca="1">IF(F16&lt;B2,"已过期",2008110059)</f>
        <v>2008110059</v>
      </c>
      <c r="F16" s="1907">
        <v>47177</v>
      </c>
    </row>
    <row r="17" spans="1:7" ht="24" customHeight="1">
      <c r="A17" s="3210" t="s">
        <v>1994</v>
      </c>
      <c r="B17" s="1898">
        <f ca="1">IF(C17&lt;B2,"已过期",1120140020)</f>
        <v>1120140020</v>
      </c>
      <c r="C17" s="3211">
        <v>42987</v>
      </c>
      <c r="D17" s="3210"/>
      <c r="E17" s="1898"/>
      <c r="F17" s="1907"/>
    </row>
    <row r="18" spans="1:7" ht="24" customHeight="1">
      <c r="A18" s="3210" t="s">
        <v>1995</v>
      </c>
      <c r="B18" s="1898">
        <f ca="1">IF(C18&lt;B2,"已过期",1120140024)</f>
        <v>1120140024</v>
      </c>
      <c r="C18" s="3211">
        <v>42987</v>
      </c>
      <c r="D18" s="3210" t="s">
        <v>1995</v>
      </c>
      <c r="E18" s="1898">
        <f ca="1">IF(F18&lt;B2,"已过期",2011110048)</f>
        <v>2011110048</v>
      </c>
      <c r="F18" s="1907">
        <v>48302</v>
      </c>
    </row>
    <row r="19" spans="1:7" ht="24" customHeight="1">
      <c r="A19" s="3210" t="s">
        <v>1996</v>
      </c>
      <c r="B19" s="1898">
        <f ca="1">IF(C19&lt;B2,"已过期",1120140019)</f>
        <v>1120140019</v>
      </c>
      <c r="C19" s="3211">
        <v>42987</v>
      </c>
      <c r="D19" s="3210"/>
      <c r="E19" s="1898"/>
      <c r="F19" s="1898"/>
    </row>
    <row r="20" spans="1:7" ht="24" customHeight="1">
      <c r="A20" s="3210" t="s">
        <v>1997</v>
      </c>
      <c r="B20" s="1898">
        <f ca="1">IF(C20&lt;B2,"已过期",1120140023)</f>
        <v>1120140023</v>
      </c>
      <c r="C20" s="3211">
        <v>42987</v>
      </c>
      <c r="D20" s="3210"/>
      <c r="E20" s="1898"/>
      <c r="F20" s="1898"/>
    </row>
    <row r="21" spans="1:7" ht="24" customHeight="1">
      <c r="A21" s="3210"/>
      <c r="B21" s="1898"/>
      <c r="C21" s="3211"/>
      <c r="D21" s="3210" t="s">
        <v>1998</v>
      </c>
      <c r="E21" s="1898">
        <f ca="1">IF(F21&lt;B2,"已过期",2011110090)</f>
        <v>2011110090</v>
      </c>
      <c r="F21" s="1907">
        <v>48302</v>
      </c>
    </row>
    <row r="22" spans="1:7" ht="24" customHeight="1">
      <c r="A22" s="3210" t="s">
        <v>1999</v>
      </c>
      <c r="B22" s="1898">
        <f ca="1">IF(C22&lt;B2,"已过期",1120020033)</f>
        <v>1120020033</v>
      </c>
      <c r="C22" s="3211">
        <v>43304</v>
      </c>
      <c r="D22" s="3210" t="s">
        <v>1999</v>
      </c>
      <c r="E22" s="1898">
        <f ca="1">IF(F22&lt;B2,"已过期",2000110137)</f>
        <v>2000110137</v>
      </c>
      <c r="F22" s="1907">
        <v>46387</v>
      </c>
    </row>
    <row r="23" spans="1:7" ht="24" customHeight="1">
      <c r="A23" s="3210" t="s">
        <v>2000</v>
      </c>
      <c r="B23" s="1898">
        <f ca="1">IF(C23&lt;B2,"已过期",1120130048)</f>
        <v>1120130048</v>
      </c>
      <c r="C23" s="3211">
        <v>43686</v>
      </c>
      <c r="D23" s="3210"/>
      <c r="E23" s="1898"/>
      <c r="F23" s="1898"/>
    </row>
    <row r="24" spans="1:7" s="1900" customFormat="1" ht="24" customHeight="1">
      <c r="A24" s="3212" t="s">
        <v>2954</v>
      </c>
      <c r="B24" s="3212" t="s">
        <v>2954</v>
      </c>
      <c r="C24" s="3212" t="s">
        <v>2954</v>
      </c>
      <c r="D24" s="3212" t="s">
        <v>2954</v>
      </c>
      <c r="E24" s="3212" t="s">
        <v>2954</v>
      </c>
      <c r="F24" s="3212" t="s">
        <v>2954</v>
      </c>
    </row>
    <row r="25" spans="1:7" ht="24" customHeight="1">
      <c r="A25" s="3379" t="s">
        <v>2001</v>
      </c>
      <c r="B25" s="3379"/>
      <c r="C25" s="3379"/>
      <c r="D25" s="3379"/>
      <c r="E25" s="3379"/>
      <c r="F25" s="3379"/>
      <c r="G25" s="3379"/>
    </row>
    <row r="26" spans="1:7" s="1902" customFormat="1" ht="24" customHeight="1">
      <c r="A26" s="3380" t="s">
        <v>2002</v>
      </c>
      <c r="B26" s="3380"/>
      <c r="C26" s="3380"/>
      <c r="D26" s="1901"/>
      <c r="E26" s="3380" t="s">
        <v>2003</v>
      </c>
      <c r="F26" s="3380"/>
      <c r="G26" s="3380"/>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2395</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地价</vt:lpstr>
      <vt:lpstr>典型户型修正</vt:lpstr>
      <vt:lpstr>成本法（废）</vt:lpstr>
      <vt:lpstr>区片价</vt:lpstr>
      <vt:lpstr>因素修正幅度</vt:lpstr>
      <vt:lpstr>存贷款利率</vt:lpstr>
      <vt:lpstr>面积</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a0002</cp:lastModifiedBy>
  <cp:lastPrinted>2017-03-01T09:15:43Z</cp:lastPrinted>
  <dcterms:created xsi:type="dcterms:W3CDTF">2015-07-13T07:17:23Z</dcterms:created>
  <dcterms:modified xsi:type="dcterms:W3CDTF">2017-07-06T08:47:12Z</dcterms:modified>
</cp:coreProperties>
</file>